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.ifado.local\users\Schreibz\EXCLI Journal\EXCLI J (X)\PR\ab 2018\MS 2018-1387_Ghasemi\Supplementary Tables\"/>
    </mc:Choice>
  </mc:AlternateContent>
  <bookViews>
    <workbookView xWindow="0" yWindow="0" windowWidth="28800" windowHeight="11835" activeTab="5"/>
  </bookViews>
  <sheets>
    <sheet name="Title page" sheetId="12" r:id="rId1"/>
    <sheet name="AKT" sheetId="8" r:id="rId2"/>
    <sheet name="ERK" sheetId="1" r:id="rId3"/>
    <sheet name="IRS307" sheetId="11" r:id="rId4"/>
    <sheet name="P38" sheetId="6" r:id="rId5"/>
    <sheet name="JNK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6" l="1"/>
  <c r="O6" i="6"/>
  <c r="Q44" i="9" l="1"/>
  <c r="O28" i="9"/>
  <c r="O29" i="9"/>
  <c r="O30" i="9"/>
  <c r="O27" i="9"/>
  <c r="E28" i="9"/>
  <c r="E29" i="9"/>
  <c r="E30" i="9"/>
  <c r="E27" i="9"/>
  <c r="I27" i="9"/>
  <c r="I28" i="9"/>
  <c r="I29" i="9"/>
  <c r="I30" i="9"/>
  <c r="O21" i="9"/>
  <c r="O22" i="9"/>
  <c r="O23" i="9"/>
  <c r="O20" i="9"/>
  <c r="I20" i="9"/>
  <c r="E20" i="9"/>
  <c r="E22" i="9"/>
  <c r="E23" i="9"/>
  <c r="E21" i="9"/>
  <c r="O14" i="9"/>
  <c r="O15" i="9"/>
  <c r="O16" i="9"/>
  <c r="O13" i="9"/>
  <c r="E13" i="9"/>
  <c r="E15" i="9"/>
  <c r="E16" i="9"/>
  <c r="E14" i="9"/>
  <c r="O8" i="9"/>
  <c r="O9" i="9"/>
  <c r="O7" i="9"/>
  <c r="O6" i="9"/>
  <c r="I6" i="9"/>
  <c r="E7" i="9"/>
  <c r="E8" i="9"/>
  <c r="E9" i="9"/>
  <c r="E6" i="9"/>
  <c r="I7" i="9"/>
  <c r="I23" i="6"/>
  <c r="I14" i="6"/>
  <c r="I8" i="6"/>
  <c r="I9" i="6"/>
  <c r="E9" i="6"/>
  <c r="O9" i="6"/>
  <c r="E7" i="6"/>
  <c r="E8" i="6"/>
  <c r="O8" i="6" s="1"/>
  <c r="E6" i="6"/>
  <c r="E24" i="6"/>
  <c r="I30" i="6"/>
  <c r="O25" i="6"/>
  <c r="O22" i="6"/>
  <c r="E32" i="6"/>
  <c r="E30" i="6"/>
  <c r="E31" i="6"/>
  <c r="E29" i="6"/>
  <c r="I24" i="6"/>
  <c r="I22" i="6"/>
  <c r="E22" i="6"/>
  <c r="E23" i="6"/>
  <c r="E25" i="6"/>
  <c r="I29" i="6"/>
  <c r="O30" i="6"/>
  <c r="I31" i="6"/>
  <c r="O31" i="6" s="1"/>
  <c r="I32" i="6"/>
  <c r="O32" i="6" s="1"/>
  <c r="I25" i="6"/>
  <c r="O29" i="6" l="1"/>
  <c r="O23" i="6"/>
  <c r="O24" i="6"/>
  <c r="E14" i="6" l="1"/>
  <c r="E15" i="6"/>
  <c r="E16" i="6"/>
  <c r="E13" i="6"/>
  <c r="I7" i="6"/>
  <c r="O7" i="6" s="1"/>
  <c r="I6" i="6"/>
  <c r="O28" i="11"/>
  <c r="O20" i="11"/>
  <c r="O13" i="11"/>
  <c r="O26" i="11"/>
  <c r="E25" i="11"/>
  <c r="O25" i="11"/>
  <c r="G26" i="11"/>
  <c r="G27" i="11"/>
  <c r="G28" i="11"/>
  <c r="G25" i="11"/>
  <c r="E21" i="11"/>
  <c r="E19" i="11"/>
  <c r="I22" i="11"/>
  <c r="I20" i="11"/>
  <c r="I21" i="11"/>
  <c r="O22" i="11"/>
  <c r="I19" i="11"/>
  <c r="O21" i="11"/>
  <c r="O19" i="11"/>
  <c r="E20" i="11"/>
  <c r="E22" i="11"/>
  <c r="O15" i="11"/>
  <c r="O14" i="11"/>
  <c r="O12" i="11"/>
  <c r="I12" i="11"/>
  <c r="I13" i="11"/>
  <c r="I14" i="11"/>
  <c r="I15" i="11"/>
  <c r="O6" i="11"/>
  <c r="E7" i="11"/>
  <c r="E8" i="11"/>
  <c r="E9" i="11"/>
  <c r="E6" i="11"/>
  <c r="E13" i="11"/>
  <c r="E14" i="11"/>
  <c r="E15" i="11"/>
  <c r="E12" i="11"/>
  <c r="O7" i="11"/>
  <c r="O8" i="11"/>
  <c r="O9" i="11"/>
  <c r="E23" i="8"/>
  <c r="I15" i="8"/>
  <c r="E8" i="8"/>
  <c r="I8" i="8"/>
  <c r="O8" i="8" s="1"/>
  <c r="N6" i="1"/>
  <c r="H6" i="1"/>
  <c r="H14" i="1"/>
  <c r="H15" i="1"/>
  <c r="H16" i="1"/>
  <c r="H13" i="1"/>
  <c r="H7" i="1"/>
  <c r="H8" i="1"/>
  <c r="H9" i="1"/>
  <c r="D14" i="1"/>
  <c r="D15" i="1"/>
  <c r="D16" i="1"/>
  <c r="D13" i="1"/>
  <c r="D7" i="1"/>
  <c r="D8" i="1"/>
  <c r="D9" i="1"/>
  <c r="D6" i="1"/>
  <c r="N28" i="1"/>
  <c r="N20" i="1"/>
  <c r="D28" i="1"/>
  <c r="D29" i="1"/>
  <c r="D30" i="1"/>
  <c r="D27" i="1"/>
  <c r="H28" i="1"/>
  <c r="H29" i="1"/>
  <c r="H30" i="1"/>
  <c r="H27" i="1"/>
  <c r="H20" i="1"/>
  <c r="N27" i="1"/>
  <c r="N29" i="1"/>
  <c r="N30" i="1"/>
  <c r="N21" i="1"/>
  <c r="N22" i="1"/>
  <c r="N23" i="1"/>
  <c r="H21" i="1"/>
  <c r="H22" i="1"/>
  <c r="H23" i="1"/>
  <c r="D20" i="1"/>
  <c r="D21" i="1"/>
  <c r="D22" i="1"/>
  <c r="D23" i="1"/>
  <c r="N14" i="1"/>
  <c r="N13" i="1"/>
  <c r="N9" i="1"/>
  <c r="N8" i="1"/>
  <c r="N7" i="1"/>
  <c r="E11" i="8" l="1"/>
  <c r="E9" i="8"/>
  <c r="R44" i="9" l="1"/>
  <c r="S44" i="9"/>
  <c r="T44" i="9"/>
  <c r="E27" i="11" l="1"/>
  <c r="O27" i="11" s="1"/>
  <c r="E26" i="11" l="1"/>
  <c r="E28" i="11"/>
  <c r="I16" i="8" l="1"/>
  <c r="I9" i="8"/>
  <c r="O9" i="8" s="1"/>
  <c r="I10" i="8"/>
  <c r="I11" i="8"/>
  <c r="I17" i="8"/>
  <c r="I18" i="8"/>
  <c r="I30" i="8"/>
  <c r="I31" i="8"/>
  <c r="I32" i="8"/>
  <c r="I29" i="8"/>
  <c r="I24" i="8"/>
  <c r="I25" i="8"/>
  <c r="I26" i="8"/>
  <c r="I23" i="8"/>
  <c r="O23" i="8" s="1"/>
  <c r="E30" i="8"/>
  <c r="O30" i="8" s="1"/>
  <c r="E31" i="8"/>
  <c r="O31" i="8" s="1"/>
  <c r="E32" i="8"/>
  <c r="O32" i="8" s="1"/>
  <c r="E29" i="8"/>
  <c r="O29" i="8" s="1"/>
  <c r="E24" i="8"/>
  <c r="O24" i="8" s="1"/>
  <c r="E25" i="8"/>
  <c r="O25" i="8" s="1"/>
  <c r="E26" i="8"/>
  <c r="O26" i="8" l="1"/>
  <c r="I21" i="9"/>
  <c r="I22" i="9"/>
  <c r="I23" i="9"/>
  <c r="I8" i="9"/>
  <c r="I9" i="9"/>
  <c r="I14" i="9"/>
  <c r="I15" i="9"/>
  <c r="I16" i="9"/>
  <c r="I13" i="9"/>
  <c r="E16" i="8"/>
  <c r="E17" i="8"/>
  <c r="O17" i="8" s="1"/>
  <c r="E18" i="8"/>
  <c r="O18" i="8" s="1"/>
  <c r="E10" i="8"/>
  <c r="O10" i="8" s="1"/>
  <c r="O11" i="8"/>
  <c r="E15" i="8"/>
  <c r="O15" i="8" s="1"/>
  <c r="O14" i="6"/>
  <c r="I15" i="6"/>
  <c r="O15" i="6" s="1"/>
  <c r="I16" i="6"/>
  <c r="O16" i="6" s="1"/>
  <c r="I13" i="6"/>
  <c r="N15" i="1"/>
  <c r="N16" i="1"/>
  <c r="O16" i="8" l="1"/>
</calcChain>
</file>

<file path=xl/sharedStrings.xml><?xml version="1.0" encoding="utf-8"?>
<sst xmlns="http://schemas.openxmlformats.org/spreadsheetml/2006/main" count="162" uniqueCount="34">
  <si>
    <t>B2_P.EERK</t>
  </si>
  <si>
    <t>TOTAL</t>
  </si>
  <si>
    <t>RATIO</t>
  </si>
  <si>
    <t>TOTTAL</t>
  </si>
  <si>
    <t>P.JNK</t>
  </si>
  <si>
    <t>SEM</t>
  </si>
  <si>
    <t xml:space="preserve">LPS </t>
  </si>
  <si>
    <t>LPS + INSULIN</t>
  </si>
  <si>
    <t>INSULIN</t>
  </si>
  <si>
    <t>CONTROL</t>
  </si>
  <si>
    <t>MEAN</t>
  </si>
  <si>
    <t>phospho</t>
  </si>
  <si>
    <t>raw data</t>
  </si>
  <si>
    <t xml:space="preserve">Normalized to control </t>
  </si>
  <si>
    <t>CONT 1</t>
  </si>
  <si>
    <t>CONT 2</t>
  </si>
  <si>
    <t>CONT 3</t>
  </si>
  <si>
    <t>CONT 4</t>
  </si>
  <si>
    <t>LPS1</t>
  </si>
  <si>
    <t>LPS2</t>
  </si>
  <si>
    <t>LPS3</t>
  </si>
  <si>
    <t>LPS4</t>
  </si>
  <si>
    <t>LPS+INS 1</t>
  </si>
  <si>
    <t>LPS+INS 2</t>
  </si>
  <si>
    <t>LPS+INS 3</t>
  </si>
  <si>
    <t>LPS+INS 4</t>
  </si>
  <si>
    <t>INS 1</t>
  </si>
  <si>
    <t>INS 2</t>
  </si>
  <si>
    <t>INS 3</t>
  </si>
  <si>
    <t>INS 4</t>
  </si>
  <si>
    <t>P.P38</t>
  </si>
  <si>
    <t>P.IRS</t>
  </si>
  <si>
    <t>P.AKT</t>
  </si>
  <si>
    <t>phospho/total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</si>
</sst>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AD4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0" fillId="2" borderId="0" xfId="0" applyFill="1"/>
    <xf numFmtId="0" fontId="2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 applyFill="1"/>
    <xf numFmtId="0" fontId="0" fillId="0" borderId="0" xfId="0" applyFill="1" applyBorder="1"/>
    <xf numFmtId="0" fontId="0" fillId="8" borderId="0" xfId="0" applyFill="1"/>
    <xf numFmtId="0" fontId="2" fillId="8" borderId="0" xfId="0" applyFont="1" applyFill="1"/>
    <xf numFmtId="0" fontId="3" fillId="4" borderId="0" xfId="0" applyFont="1" applyFill="1"/>
    <xf numFmtId="0" fontId="0" fillId="7" borderId="0" xfId="0" applyFill="1"/>
    <xf numFmtId="0" fontId="3" fillId="8" borderId="0" xfId="0" applyFont="1" applyFill="1"/>
    <xf numFmtId="0" fontId="3" fillId="0" borderId="0" xfId="0" applyFont="1" applyFill="1"/>
    <xf numFmtId="0" fontId="1" fillId="8" borderId="0" xfId="0" applyFont="1" applyFill="1"/>
    <xf numFmtId="0" fontId="4" fillId="0" borderId="0" xfId="0" applyFont="1"/>
    <xf numFmtId="0" fontId="3" fillId="9" borderId="0" xfId="0" applyFont="1" applyFill="1"/>
    <xf numFmtId="0" fontId="4" fillId="9" borderId="0" xfId="0" applyFont="1" applyFill="1"/>
    <xf numFmtId="0" fontId="4" fillId="10" borderId="0" xfId="0" applyFont="1" applyFill="1"/>
    <xf numFmtId="0" fontId="4" fillId="8" borderId="0" xfId="0" applyFont="1" applyFill="1"/>
    <xf numFmtId="0" fontId="4" fillId="11" borderId="0" xfId="0" applyFont="1" applyFill="1"/>
    <xf numFmtId="0" fontId="0" fillId="12" borderId="0" xfId="0" applyFill="1"/>
    <xf numFmtId="0" fontId="0" fillId="0" borderId="0" xfId="0" applyFont="1" applyFill="1"/>
    <xf numFmtId="0" fontId="4" fillId="0" borderId="0" xfId="0" applyFont="1" applyFill="1"/>
    <xf numFmtId="0" fontId="5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62A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horzBrick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B24-4E09-8086-1C7BEDD646A3}"/>
              </c:ext>
            </c:extLst>
          </c:dPt>
          <c:dPt>
            <c:idx val="2"/>
            <c:invertIfNegative val="0"/>
            <c:bubble3D val="0"/>
            <c:spPr>
              <a:pattFill prst="shingle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B24-4E09-8086-1C7BEDD646A3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B24-4E09-8086-1C7BEDD646A3}"/>
              </c:ext>
            </c:extLst>
          </c:dPt>
          <c:errBars>
            <c:errBarType val="plus"/>
            <c:errValType val="cust"/>
            <c:noEndCap val="0"/>
            <c:plus>
              <c:numRef>
                <c:f>AKT!$E$47:$E$50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2.3130000000000001E-2</c:v>
                  </c:pt>
                  <c:pt idx="2">
                    <c:v>6.7739999999999995E-2</c:v>
                  </c:pt>
                  <c:pt idx="3">
                    <c:v>4.9180000000000001E-2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AKT!$B$47:$B$50</c:f>
              <c:strCache>
                <c:ptCount val="4"/>
                <c:pt idx="0">
                  <c:v>CONTROL</c:v>
                </c:pt>
                <c:pt idx="1">
                  <c:v>LPS </c:v>
                </c:pt>
                <c:pt idx="2">
                  <c:v>LPS + INSULIN</c:v>
                </c:pt>
                <c:pt idx="3">
                  <c:v>INSULIN</c:v>
                </c:pt>
              </c:strCache>
            </c:strRef>
          </c:cat>
          <c:val>
            <c:numRef>
              <c:f>AKT!$C$47:$C$50</c:f>
              <c:numCache>
                <c:formatCode>General</c:formatCode>
                <c:ptCount val="4"/>
                <c:pt idx="0">
                  <c:v>1</c:v>
                </c:pt>
                <c:pt idx="1">
                  <c:v>0.70430274999999998</c:v>
                </c:pt>
                <c:pt idx="2">
                  <c:v>0.94844925000000002</c:v>
                </c:pt>
                <c:pt idx="3">
                  <c:v>0.99628024999999998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B24-4E09-8086-1C7BEDD6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5238176"/>
        <c:axId val="253362232"/>
      </c:barChart>
      <c:catAx>
        <c:axId val="40523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3362232"/>
        <c:crosses val="autoZero"/>
        <c:auto val="1"/>
        <c:lblAlgn val="ctr"/>
        <c:lblOffset val="100"/>
        <c:noMultiLvlLbl val="0"/>
      </c:catAx>
      <c:valAx>
        <c:axId val="25336223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baseline="0">
                    <a:solidFill>
                      <a:sysClr val="windowText" lastClr="000000"/>
                    </a:solidFill>
                    <a:effectLst/>
                  </a:rPr>
                  <a:t>p-Akt/T.Akt mean ratio</a:t>
                </a:r>
                <a:r>
                  <a:rPr lang="en-US" sz="1200" b="1" i="0" baseline="0">
                    <a:solidFill>
                      <a:sysClr val="windowText" lastClr="000000"/>
                    </a:solidFill>
                    <a:effectLst/>
                  </a:rPr>
                  <a:t>  to control</a:t>
                </a:r>
                <a:endParaRPr lang="en-US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52381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horzBrick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EA-4779-A92A-3870FE5AFF4A}"/>
              </c:ext>
            </c:extLst>
          </c:dPt>
          <c:dPt>
            <c:idx val="2"/>
            <c:invertIfNegative val="0"/>
            <c:bubble3D val="0"/>
            <c:spPr>
              <a:pattFill prst="shingle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BEA-4779-A92A-3870FE5AFF4A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BEA-4779-A92A-3870FE5AFF4A}"/>
              </c:ext>
            </c:extLst>
          </c:dPt>
          <c:errBars>
            <c:errBarType val="plus"/>
            <c:errValType val="cust"/>
            <c:noEndCap val="0"/>
            <c:plus>
              <c:numRef>
                <c:f>'IRS307'!$I$35:$I$38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0.72650000000000003</c:v>
                  </c:pt>
                  <c:pt idx="2">
                    <c:v>0.32669999999999999</c:v>
                  </c:pt>
                  <c:pt idx="3">
                    <c:v>0.14710000000000001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'IRS307'!$G$35:$G$38</c:f>
              <c:strCache>
                <c:ptCount val="4"/>
                <c:pt idx="0">
                  <c:v>CONTROL</c:v>
                </c:pt>
                <c:pt idx="1">
                  <c:v>LPS </c:v>
                </c:pt>
                <c:pt idx="2">
                  <c:v>LPS + INSULIN</c:v>
                </c:pt>
                <c:pt idx="3">
                  <c:v>INSULIN</c:v>
                </c:pt>
              </c:strCache>
            </c:strRef>
          </c:cat>
          <c:val>
            <c:numRef>
              <c:f>'IRS307'!$H$35:$H$38</c:f>
              <c:numCache>
                <c:formatCode>General</c:formatCode>
                <c:ptCount val="4"/>
                <c:pt idx="0">
                  <c:v>1</c:v>
                </c:pt>
                <c:pt idx="1">
                  <c:v>2.7347469064683496</c:v>
                </c:pt>
                <c:pt idx="2">
                  <c:v>1.4075230581655911</c:v>
                </c:pt>
                <c:pt idx="3">
                  <c:v>0.93168452688279157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BEA-4779-A92A-3870FE5AF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313400"/>
        <c:axId val="404311440"/>
      </c:barChart>
      <c:catAx>
        <c:axId val="40431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4311440"/>
        <c:crosses val="autoZero"/>
        <c:auto val="1"/>
        <c:lblAlgn val="ctr"/>
        <c:lblOffset val="100"/>
        <c:noMultiLvlLbl val="0"/>
      </c:catAx>
      <c:valAx>
        <c:axId val="4043114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baseline="0">
                    <a:effectLst/>
                  </a:rPr>
                  <a:t>p-IRS1 (ser 307)/T-IRS1</a:t>
                </a:r>
                <a:r>
                  <a:rPr lang="en-US" sz="1200" b="1" i="0" baseline="0">
                    <a:effectLst/>
                  </a:rPr>
                  <a:t> </a:t>
                </a:r>
                <a:r>
                  <a:rPr lang="en-US" sz="1200" b="1" i="0" u="none" strike="noStrike" baseline="0">
                    <a:effectLst/>
                  </a:rPr>
                  <a:t>mean ratio </a:t>
                </a:r>
                <a:r>
                  <a:rPr lang="en-US" sz="1200" b="1" i="0" baseline="0">
                    <a:effectLst/>
                  </a:rPr>
                  <a:t>to control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3809523809523808E-2"/>
              <c:y val="7.57993285027405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4313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5">
              <a:fgClr>
                <a:schemeClr val="l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EEC-4944-BE50-7827583A7DFE}"/>
              </c:ext>
            </c:extLst>
          </c:dPt>
          <c:dPt>
            <c:idx val="1"/>
            <c:invertIfNegative val="0"/>
            <c:bubble3D val="0"/>
            <c:spPr>
              <a:pattFill prst="horzBrick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EEC-4944-BE50-7827583A7DFE}"/>
              </c:ext>
            </c:extLst>
          </c:dPt>
          <c:dPt>
            <c:idx val="2"/>
            <c:invertIfNegative val="0"/>
            <c:bubble3D val="0"/>
            <c:spPr>
              <a:pattFill prst="shingle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EEC-4944-BE50-7827583A7DFE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EEC-4944-BE50-7827583A7DFE}"/>
              </c:ext>
            </c:extLst>
          </c:dPt>
          <c:errBars>
            <c:errBarType val="plus"/>
            <c:errValType val="cust"/>
            <c:noEndCap val="0"/>
            <c:plus>
              <c:numRef>
                <c:f>'P38'!$O$36:$O$39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0.40279999999999999</c:v>
                  </c:pt>
                  <c:pt idx="2">
                    <c:v>0.1512</c:v>
                  </c:pt>
                  <c:pt idx="3">
                    <c:v>0.1714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'P38'!$L$36:$L$39</c:f>
              <c:strCache>
                <c:ptCount val="4"/>
                <c:pt idx="0">
                  <c:v>CONTROL</c:v>
                </c:pt>
                <c:pt idx="1">
                  <c:v>LPS </c:v>
                </c:pt>
                <c:pt idx="2">
                  <c:v>LPS + INSULIN</c:v>
                </c:pt>
                <c:pt idx="3">
                  <c:v>INSULIN</c:v>
                </c:pt>
              </c:strCache>
            </c:strRef>
          </c:cat>
          <c:val>
            <c:numRef>
              <c:f>'P38'!$M$36:$M$39</c:f>
              <c:numCache>
                <c:formatCode>General</c:formatCode>
                <c:ptCount val="4"/>
                <c:pt idx="0">
                  <c:v>1</c:v>
                </c:pt>
                <c:pt idx="1">
                  <c:v>2.6406612219999999</c:v>
                </c:pt>
                <c:pt idx="2">
                  <c:v>1.3194822545</c:v>
                </c:pt>
                <c:pt idx="3">
                  <c:v>0.88402261280000005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EEC-4944-BE50-7827583A7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312616"/>
        <c:axId val="404312224"/>
      </c:barChart>
      <c:catAx>
        <c:axId val="404312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4312224"/>
        <c:crosses val="autoZero"/>
        <c:auto val="1"/>
        <c:lblAlgn val="ctr"/>
        <c:lblOffset val="100"/>
        <c:noMultiLvlLbl val="0"/>
      </c:catAx>
      <c:valAx>
        <c:axId val="404312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p-P38/T.P38  mean ratio to control</a:t>
                </a:r>
                <a:endParaRPr lang="en-US" sz="105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solidFill>
            <a:schemeClr val="lt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43126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horzBrick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99A-4260-AD13-FC614DF300C7}"/>
              </c:ext>
            </c:extLst>
          </c:dPt>
          <c:dPt>
            <c:idx val="2"/>
            <c:invertIfNegative val="0"/>
            <c:bubble3D val="0"/>
            <c:spPr>
              <a:pattFill prst="shingle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99A-4260-AD13-FC614DF300C7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99A-4260-AD13-FC614DF300C7}"/>
              </c:ext>
            </c:extLst>
          </c:dPt>
          <c:errBars>
            <c:errBarType val="plus"/>
            <c:errValType val="cust"/>
            <c:noEndCap val="0"/>
            <c:plus>
              <c:numRef>
                <c:f>JNK!$Q$45:$T$45</c:f>
                <c:numCache>
                  <c:formatCode>General</c:formatCode>
                  <c:ptCount val="4"/>
                  <c:pt idx="0">
                    <c:v>6.8000000000000005E-2</c:v>
                  </c:pt>
                  <c:pt idx="1">
                    <c:v>0.1381</c:v>
                  </c:pt>
                  <c:pt idx="2">
                    <c:v>6.0019999999999997E-2</c:v>
                  </c:pt>
                  <c:pt idx="3">
                    <c:v>7.3330000000000006E-2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JNK!$Q$38:$T$38</c:f>
              <c:strCache>
                <c:ptCount val="4"/>
                <c:pt idx="0">
                  <c:v>CONTROL</c:v>
                </c:pt>
                <c:pt idx="1">
                  <c:v>LPS </c:v>
                </c:pt>
                <c:pt idx="2">
                  <c:v>LPS + INSULIN</c:v>
                </c:pt>
                <c:pt idx="3">
                  <c:v>INSULIN</c:v>
                </c:pt>
              </c:strCache>
            </c:strRef>
          </c:cat>
          <c:val>
            <c:numRef>
              <c:f>JNK!$Q$44:$T$44</c:f>
              <c:numCache>
                <c:formatCode>General</c:formatCode>
                <c:ptCount val="4"/>
                <c:pt idx="0">
                  <c:v>1</c:v>
                </c:pt>
                <c:pt idx="1">
                  <c:v>1.0193496118621557</c:v>
                </c:pt>
                <c:pt idx="2">
                  <c:v>0.78188632963550797</c:v>
                </c:pt>
                <c:pt idx="3">
                  <c:v>0.73662590224955127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99A-4260-AD13-FC614DF30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7052000"/>
        <c:axId val="397050824"/>
      </c:barChart>
      <c:catAx>
        <c:axId val="39705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7050824"/>
        <c:crosses val="autoZero"/>
        <c:auto val="1"/>
        <c:lblAlgn val="ctr"/>
        <c:lblOffset val="100"/>
        <c:noMultiLvlLbl val="0"/>
      </c:catAx>
      <c:valAx>
        <c:axId val="397050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p-JNK/T.JNK  mean ratio </a:t>
                </a:r>
                <a:r>
                  <a:rPr lang="en-US" sz="1200" b="1" i="0" baseline="0">
                    <a:solidFill>
                      <a:schemeClr val="tx1"/>
                    </a:solidFill>
                    <a:effectLst/>
                  </a:rPr>
                  <a:t>to control</a:t>
                </a:r>
                <a:endParaRPr lang="en-US" sz="1200" baseline="0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0512846925103689E-2"/>
              <c:y val="0.11431138060748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705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chart" Target="../charts/chart2.xml"/><Relationship Id="rId4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chart" Target="../charts/chart4.xml"/><Relationship Id="rId1" Type="http://schemas.openxmlformats.org/officeDocument/2006/relationships/image" Target="../media/image12.png"/><Relationship Id="rId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732286</xdr:colOff>
      <xdr:row>39</xdr:row>
      <xdr:rowOff>151452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14286" cy="75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470735</xdr:colOff>
      <xdr:row>39</xdr:row>
      <xdr:rowOff>42110</xdr:rowOff>
    </xdr:from>
    <xdr:to>
      <xdr:col>19</xdr:col>
      <xdr:colOff>215565</xdr:colOff>
      <xdr:row>53</xdr:row>
      <xdr:rowOff>51634</xdr:rowOff>
    </xdr:to>
    <xdr:grpSp>
      <xdr:nvGrpSpPr>
        <xdr:cNvPr id="11" name="Group 10"/>
        <xdr:cNvGrpSpPr/>
      </xdr:nvGrpSpPr>
      <xdr:grpSpPr>
        <a:xfrm>
          <a:off x="8321340" y="7471610"/>
          <a:ext cx="5279357" cy="2676524"/>
          <a:chOff x="8582024" y="7200900"/>
          <a:chExt cx="4747962" cy="2676524"/>
        </a:xfrm>
      </xdr:grpSpPr>
      <xdr:graphicFrame macro="">
        <xdr:nvGraphicFramePr>
          <xdr:cNvPr id="3" name="Chart 2"/>
          <xdr:cNvGraphicFramePr/>
        </xdr:nvGraphicFramePr>
        <xdr:xfrm>
          <a:off x="8582024" y="7200900"/>
          <a:ext cx="4747962" cy="26765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10612888" y="7960894"/>
            <a:ext cx="39253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4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**</a:t>
            </a:r>
            <a:endParaRPr lang="en-US" sz="1600" b="1">
              <a:effectLst/>
            </a:endParaRPr>
          </a:p>
          <a:p>
            <a:endParaRPr lang="en-US" sz="1600">
              <a:effectLst/>
            </a:endParaRPr>
          </a:p>
        </xdr:txBody>
      </xdr:sp>
    </xdr:grpSp>
    <xdr:clientData/>
  </xdr:twoCellAnchor>
  <xdr:twoCellAnchor editAs="oneCell">
    <xdr:from>
      <xdr:col>1</xdr:col>
      <xdr:colOff>152400</xdr:colOff>
      <xdr:row>35</xdr:row>
      <xdr:rowOff>133350</xdr:rowOff>
    </xdr:from>
    <xdr:to>
      <xdr:col>8</xdr:col>
      <xdr:colOff>542257</xdr:colOff>
      <xdr:row>40</xdr:row>
      <xdr:rowOff>123707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5657850"/>
          <a:ext cx="5342857" cy="9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52</xdr:row>
      <xdr:rowOff>180975</xdr:rowOff>
    </xdr:from>
    <xdr:to>
      <xdr:col>8</xdr:col>
      <xdr:colOff>456479</xdr:colOff>
      <xdr:row>66</xdr:row>
      <xdr:rowOff>75880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" y="9324975"/>
          <a:ext cx="5771429" cy="2561905"/>
        </a:xfrm>
        <a:prstGeom prst="rect">
          <a:avLst/>
        </a:prstGeom>
      </xdr:spPr>
    </xdr:pic>
    <xdr:clientData/>
  </xdr:twoCellAnchor>
  <xdr:twoCellAnchor editAs="oneCell">
    <xdr:from>
      <xdr:col>8</xdr:col>
      <xdr:colOff>1025525</xdr:colOff>
      <xdr:row>59</xdr:row>
      <xdr:rowOff>50800</xdr:rowOff>
    </xdr:from>
    <xdr:to>
      <xdr:col>17</xdr:col>
      <xdr:colOff>149350</xdr:colOff>
      <xdr:row>64</xdr:row>
      <xdr:rowOff>69729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50025" y="10909300"/>
          <a:ext cx="5647614" cy="971429"/>
        </a:xfrm>
        <a:prstGeom prst="rect">
          <a:avLst/>
        </a:prstGeom>
      </xdr:spPr>
    </xdr:pic>
    <xdr:clientData/>
  </xdr:twoCellAnchor>
  <xdr:twoCellAnchor>
    <xdr:from>
      <xdr:col>2</xdr:col>
      <xdr:colOff>411078</xdr:colOff>
      <xdr:row>0</xdr:row>
      <xdr:rowOff>10026</xdr:rowOff>
    </xdr:from>
    <xdr:to>
      <xdr:col>14</xdr:col>
      <xdr:colOff>260683</xdr:colOff>
      <xdr:row>2</xdr:row>
      <xdr:rowOff>130342</xdr:rowOff>
    </xdr:to>
    <xdr:sp macro="" textlink="">
      <xdr:nvSpPr>
        <xdr:cNvPr id="6" name="TextBox 5"/>
        <xdr:cNvSpPr txBox="1"/>
      </xdr:nvSpPr>
      <xdr:spPr>
        <a:xfrm>
          <a:off x="1634289" y="10026"/>
          <a:ext cx="8422105" cy="501316"/>
        </a:xfrm>
        <a:prstGeom prst="rect">
          <a:avLst/>
        </a:prstGeom>
        <a:solidFill>
          <a:srgbClr val="A62A8E">
            <a:alpha val="82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Raw and normalized data of western blot experiment is given in different sheets of this excel file, each sheet representing an individual antibody.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each individual blot raw data were normalized to its own control,then ratio of normalized data were calculated.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560805</xdr:colOff>
      <xdr:row>19</xdr:row>
      <xdr:rowOff>44951</xdr:rowOff>
    </xdr:from>
    <xdr:to>
      <xdr:col>26</xdr:col>
      <xdr:colOff>177581</xdr:colOff>
      <xdr:row>25</xdr:row>
      <xdr:rowOff>73380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74884" y="4272714"/>
          <a:ext cx="5699408" cy="1131324"/>
        </a:xfrm>
        <a:prstGeom prst="rect">
          <a:avLst/>
        </a:prstGeom>
      </xdr:spPr>
    </xdr:pic>
    <xdr:clientData/>
  </xdr:twoCellAnchor>
  <xdr:twoCellAnchor editAs="oneCell">
    <xdr:from>
      <xdr:col>15</xdr:col>
      <xdr:colOff>470067</xdr:colOff>
      <xdr:row>29</xdr:row>
      <xdr:rowOff>99928</xdr:rowOff>
    </xdr:from>
    <xdr:to>
      <xdr:col>24</xdr:col>
      <xdr:colOff>86919</xdr:colOff>
      <xdr:row>41</xdr:row>
      <xdr:rowOff>147261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2567" y="6165849"/>
          <a:ext cx="5097905" cy="22531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32</xdr:row>
      <xdr:rowOff>152400</xdr:rowOff>
    </xdr:from>
    <xdr:to>
      <xdr:col>20</xdr:col>
      <xdr:colOff>171450</xdr:colOff>
      <xdr:row>50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485776</xdr:colOff>
      <xdr:row>33</xdr:row>
      <xdr:rowOff>152401</xdr:rowOff>
    </xdr:from>
    <xdr:to>
      <xdr:col>15</xdr:col>
      <xdr:colOff>219076</xdr:colOff>
      <xdr:row>35</xdr:row>
      <xdr:rowOff>1</xdr:rowOff>
    </xdr:to>
    <xdr:sp macro="" textlink="">
      <xdr:nvSpPr>
        <xdr:cNvPr id="5" name="TextBox 4"/>
        <xdr:cNvSpPr txBox="1"/>
      </xdr:nvSpPr>
      <xdr:spPr>
        <a:xfrm>
          <a:off x="9705976" y="5867401"/>
          <a:ext cx="34290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*</a:t>
          </a:r>
        </a:p>
      </xdr:txBody>
    </xdr:sp>
    <xdr:clientData/>
  </xdr:twoCellAnchor>
  <xdr:twoCellAnchor editAs="oneCell">
    <xdr:from>
      <xdr:col>0</xdr:col>
      <xdr:colOff>285750</xdr:colOff>
      <xdr:row>44</xdr:row>
      <xdr:rowOff>95250</xdr:rowOff>
    </xdr:from>
    <xdr:to>
      <xdr:col>7</xdr:col>
      <xdr:colOff>323250</xdr:colOff>
      <xdr:row>56</xdr:row>
      <xdr:rowOff>123536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7905750"/>
          <a:ext cx="4800000" cy="2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157100</xdr:rowOff>
    </xdr:from>
    <xdr:to>
      <xdr:col>8</xdr:col>
      <xdr:colOff>357521</xdr:colOff>
      <xdr:row>63</xdr:row>
      <xdr:rowOff>137909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176905"/>
          <a:ext cx="5651937" cy="1094122"/>
        </a:xfrm>
        <a:prstGeom prst="rect">
          <a:avLst/>
        </a:prstGeom>
      </xdr:spPr>
    </xdr:pic>
    <xdr:clientData/>
  </xdr:twoCellAnchor>
  <xdr:twoCellAnchor editAs="oneCell">
    <xdr:from>
      <xdr:col>9</xdr:col>
      <xdr:colOff>98343</xdr:colOff>
      <xdr:row>53</xdr:row>
      <xdr:rowOff>59996</xdr:rowOff>
    </xdr:from>
    <xdr:to>
      <xdr:col>18</xdr:col>
      <xdr:colOff>135495</xdr:colOff>
      <xdr:row>58</xdr:row>
      <xdr:rowOff>164639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46298" y="9337593"/>
          <a:ext cx="5492379" cy="10324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242888</xdr:colOff>
      <xdr:row>38</xdr:row>
      <xdr:rowOff>116681</xdr:rowOff>
    </xdr:from>
    <xdr:to>
      <xdr:col>8</xdr:col>
      <xdr:colOff>480349</xdr:colOff>
      <xdr:row>43</xdr:row>
      <xdr:rowOff>49895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107" y="13451681"/>
          <a:ext cx="5297617" cy="88571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266700</xdr:colOff>
      <xdr:row>44</xdr:row>
      <xdr:rowOff>76200</xdr:rowOff>
    </xdr:from>
    <xdr:to>
      <xdr:col>8</xdr:col>
      <xdr:colOff>863774</xdr:colOff>
      <xdr:row>55</xdr:row>
      <xdr:rowOff>104510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5" y="14173200"/>
          <a:ext cx="4961905" cy="2123810"/>
        </a:xfrm>
        <a:prstGeom prst="rect">
          <a:avLst/>
        </a:prstGeom>
      </xdr:spPr>
    </xdr:pic>
    <xdr:clientData/>
  </xdr:twoCellAnchor>
  <xdr:twoCellAnchor>
    <xdr:from>
      <xdr:col>11</xdr:col>
      <xdr:colOff>92869</xdr:colOff>
      <xdr:row>43</xdr:row>
      <xdr:rowOff>16668</xdr:rowOff>
    </xdr:from>
    <xdr:to>
      <xdr:col>20</xdr:col>
      <xdr:colOff>597694</xdr:colOff>
      <xdr:row>62</xdr:row>
      <xdr:rowOff>135731</xdr:rowOff>
    </xdr:to>
    <xdr:grpSp>
      <xdr:nvGrpSpPr>
        <xdr:cNvPr id="2" name="Group 1"/>
        <xdr:cNvGrpSpPr/>
      </xdr:nvGrpSpPr>
      <xdr:grpSpPr>
        <a:xfrm>
          <a:off x="8151019" y="8208168"/>
          <a:ext cx="5991225" cy="3738563"/>
          <a:chOff x="10820400" y="10953750"/>
          <a:chExt cx="5991225" cy="3738563"/>
        </a:xfrm>
      </xdr:grpSpPr>
      <xdr:graphicFrame macro="">
        <xdr:nvGraphicFramePr>
          <xdr:cNvPr id="10" name="Chart 9"/>
          <xdr:cNvGraphicFramePr/>
        </xdr:nvGraphicFramePr>
        <xdr:xfrm>
          <a:off x="10820400" y="10953750"/>
          <a:ext cx="5991225" cy="37385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1" name="TextBox 10"/>
          <xdr:cNvSpPr txBox="1"/>
        </xdr:nvSpPr>
        <xdr:spPr>
          <a:xfrm>
            <a:off x="13239751" y="11258551"/>
            <a:ext cx="400050" cy="1904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600"/>
              <a:t>**</a:t>
            </a:r>
            <a:endParaRPr lang="en-US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592640</xdr:colOff>
      <xdr:row>47</xdr:row>
      <xdr:rowOff>53742</xdr:rowOff>
    </xdr:from>
    <xdr:to>
      <xdr:col>21</xdr:col>
      <xdr:colOff>420660</xdr:colOff>
      <xdr:row>53</xdr:row>
      <xdr:rowOff>22291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35811" y="8788864"/>
          <a:ext cx="4207197" cy="1083671"/>
        </a:xfrm>
        <a:prstGeom prst="rect">
          <a:avLst/>
        </a:prstGeom>
      </xdr:spPr>
    </xdr:pic>
    <xdr:clientData/>
  </xdr:twoCellAnchor>
  <xdr:twoCellAnchor>
    <xdr:from>
      <xdr:col>22</xdr:col>
      <xdr:colOff>99974</xdr:colOff>
      <xdr:row>31</xdr:row>
      <xdr:rowOff>52563</xdr:rowOff>
    </xdr:from>
    <xdr:to>
      <xdr:col>34</xdr:col>
      <xdr:colOff>21028</xdr:colOff>
      <xdr:row>53</xdr:row>
      <xdr:rowOff>31845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92926</xdr:colOff>
      <xdr:row>35</xdr:row>
      <xdr:rowOff>0</xdr:rowOff>
    </xdr:from>
    <xdr:to>
      <xdr:col>8</xdr:col>
      <xdr:colOff>361688</xdr:colOff>
      <xdr:row>44</xdr:row>
      <xdr:rowOff>22555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926" y="6504878"/>
          <a:ext cx="5809524" cy="1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302013</xdr:colOff>
      <xdr:row>47</xdr:row>
      <xdr:rowOff>23232</xdr:rowOff>
    </xdr:from>
    <xdr:to>
      <xdr:col>8</xdr:col>
      <xdr:colOff>555751</xdr:colOff>
      <xdr:row>59</xdr:row>
      <xdr:rowOff>59655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6037" y="8758354"/>
          <a:ext cx="5190476" cy="22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3:V50"/>
  <sheetViews>
    <sheetView zoomScale="95" zoomScaleNormal="95" workbookViewId="0">
      <selection activeCell="K43" sqref="K43"/>
    </sheetView>
  </sheetViews>
  <sheetFormatPr baseColWidth="10" defaultColWidth="9.140625" defaultRowHeight="15" x14ac:dyDescent="0.25"/>
  <cols>
    <col min="3" max="3" width="11.85546875" customWidth="1"/>
    <col min="5" max="5" width="16.7109375" customWidth="1"/>
    <col min="9" max="9" width="15.7109375" customWidth="1"/>
    <col min="12" max="12" width="10.85546875" customWidth="1"/>
    <col min="15" max="15" width="17.140625" customWidth="1"/>
  </cols>
  <sheetData>
    <row r="3" spans="2:22" x14ac:dyDescent="0.25">
      <c r="G3" s="2"/>
    </row>
    <row r="4" spans="2:22" x14ac:dyDescent="0.25">
      <c r="C4" s="18" t="s">
        <v>11</v>
      </c>
      <c r="D4" s="18" t="s">
        <v>11</v>
      </c>
      <c r="E4" s="18" t="s">
        <v>11</v>
      </c>
      <c r="G4" s="12" t="s">
        <v>1</v>
      </c>
      <c r="H4" s="12" t="s">
        <v>1</v>
      </c>
      <c r="I4" s="12" t="s">
        <v>1</v>
      </c>
      <c r="L4" s="16" t="s">
        <v>32</v>
      </c>
      <c r="M4" s="16" t="s">
        <v>1</v>
      </c>
      <c r="N4" s="2"/>
      <c r="O4" s="2"/>
    </row>
    <row r="5" spans="2:22" x14ac:dyDescent="0.25">
      <c r="C5" s="12"/>
      <c r="D5" s="12"/>
      <c r="E5" s="12"/>
      <c r="G5" s="12"/>
      <c r="H5" s="12"/>
      <c r="I5" s="12"/>
      <c r="L5" s="13"/>
      <c r="M5" s="13"/>
      <c r="N5" s="2"/>
      <c r="O5" s="16" t="s">
        <v>33</v>
      </c>
    </row>
    <row r="6" spans="2:22" x14ac:dyDescent="0.25">
      <c r="C6" s="12"/>
      <c r="D6" s="12"/>
      <c r="E6" s="12"/>
      <c r="G6" s="12"/>
      <c r="H6" s="12"/>
      <c r="I6" s="12"/>
      <c r="N6" s="2"/>
    </row>
    <row r="7" spans="2:22" s="2" customFormat="1" x14ac:dyDescent="0.25">
      <c r="B7" s="10"/>
      <c r="C7" s="18" t="s">
        <v>12</v>
      </c>
      <c r="D7" s="1"/>
      <c r="E7" s="1" t="s">
        <v>13</v>
      </c>
      <c r="F7"/>
      <c r="G7" s="1" t="s">
        <v>12</v>
      </c>
      <c r="H7" s="1"/>
      <c r="I7" s="1" t="s">
        <v>13</v>
      </c>
      <c r="J7"/>
      <c r="K7"/>
      <c r="L7"/>
      <c r="M7"/>
      <c r="N7"/>
      <c r="O7" s="28" t="s">
        <v>2</v>
      </c>
    </row>
    <row r="8" spans="2:22" x14ac:dyDescent="0.25">
      <c r="B8" s="12" t="s">
        <v>14</v>
      </c>
      <c r="C8">
        <v>66405.664000000004</v>
      </c>
      <c r="E8" s="5">
        <f>C8/66405.664</f>
        <v>1</v>
      </c>
      <c r="G8">
        <v>60758.421000000002</v>
      </c>
      <c r="I8" s="5">
        <f>G8/60758.421</f>
        <v>1</v>
      </c>
      <c r="L8" s="5">
        <v>1</v>
      </c>
      <c r="M8" s="5">
        <v>1</v>
      </c>
      <c r="O8" s="7">
        <f>E8/I8</f>
        <v>1</v>
      </c>
      <c r="S8" s="21">
        <v>1</v>
      </c>
      <c r="T8" s="21">
        <v>1</v>
      </c>
      <c r="U8" s="21">
        <v>1</v>
      </c>
      <c r="V8" s="21">
        <v>1</v>
      </c>
    </row>
    <row r="9" spans="2:22" x14ac:dyDescent="0.25">
      <c r="B9" s="12" t="s">
        <v>18</v>
      </c>
      <c r="C9">
        <v>40700.158000000003</v>
      </c>
      <c r="E9" s="5">
        <f>C9/66405.664</f>
        <v>0.61290190547601486</v>
      </c>
      <c r="G9">
        <v>57890.985999999997</v>
      </c>
      <c r="I9" s="5">
        <f>G9/60758.421</f>
        <v>0.95280596577715537</v>
      </c>
      <c r="L9" s="5">
        <v>0.61290190547601486</v>
      </c>
      <c r="M9" s="5">
        <v>0.95280596577715537</v>
      </c>
      <c r="O9" s="7">
        <f>E9/I9</f>
        <v>0.64325993695484673</v>
      </c>
      <c r="S9" s="21">
        <v>0.64326000000000005</v>
      </c>
      <c r="T9" s="21">
        <v>0.72835399999999995</v>
      </c>
      <c r="U9" s="21">
        <v>0.69603000000000004</v>
      </c>
      <c r="V9" s="21">
        <v>0.74956699999999998</v>
      </c>
    </row>
    <row r="10" spans="2:22" x14ac:dyDescent="0.25">
      <c r="B10" s="12" t="s">
        <v>22</v>
      </c>
      <c r="C10">
        <v>61976.421000000002</v>
      </c>
      <c r="E10" s="5">
        <f>C10/66405.664</f>
        <v>0.93330022270389468</v>
      </c>
      <c r="G10">
        <v>50292.3</v>
      </c>
      <c r="I10" s="5">
        <f>G10/60758.421</f>
        <v>0.82774205076856755</v>
      </c>
      <c r="L10" s="5">
        <v>0.93330022270389468</v>
      </c>
      <c r="M10" s="5">
        <v>0.82774205076856755</v>
      </c>
      <c r="O10" s="7">
        <f>E10/I10</f>
        <v>1.1275254432673987</v>
      </c>
      <c r="S10" s="21">
        <v>1.1275250000000001</v>
      </c>
      <c r="T10" s="21">
        <v>0.96147499999999997</v>
      </c>
      <c r="U10" s="21">
        <v>0.80562299999999998</v>
      </c>
      <c r="V10" s="21">
        <v>0.89917400000000003</v>
      </c>
    </row>
    <row r="11" spans="2:22" x14ac:dyDescent="0.25">
      <c r="B11" s="12" t="s">
        <v>26</v>
      </c>
      <c r="C11">
        <v>62738.108</v>
      </c>
      <c r="E11" s="5">
        <f>C11/66405.664</f>
        <v>0.94477043404008421</v>
      </c>
      <c r="G11">
        <v>52421.158000000003</v>
      </c>
      <c r="I11" s="5">
        <f>G11/60758.421</f>
        <v>0.86278012392718373</v>
      </c>
      <c r="L11" s="5">
        <v>0.94477043404008421</v>
      </c>
      <c r="M11" s="5">
        <v>0.86278012392718373</v>
      </c>
      <c r="O11" s="7">
        <f>E11/I11</f>
        <v>1.0950303650247513</v>
      </c>
      <c r="S11" s="21">
        <v>1.0950299999999999</v>
      </c>
      <c r="T11" s="21">
        <v>1.0545340000000001</v>
      </c>
      <c r="U11" s="21">
        <v>0.87564600000000004</v>
      </c>
      <c r="V11" s="21">
        <v>0.95991099999999996</v>
      </c>
    </row>
    <row r="12" spans="2:22" x14ac:dyDescent="0.25">
      <c r="B12" s="12"/>
      <c r="D12" s="2"/>
      <c r="E12" s="2"/>
      <c r="F12" s="2"/>
      <c r="G12" s="2"/>
      <c r="H12" s="2"/>
      <c r="I12" s="2"/>
      <c r="J12" s="2"/>
      <c r="O12" s="2"/>
    </row>
    <row r="13" spans="2:22" x14ac:dyDescent="0.25">
      <c r="B13" s="12"/>
      <c r="D13" s="2"/>
      <c r="E13" s="2"/>
      <c r="F13" s="2"/>
      <c r="G13" s="2"/>
      <c r="H13" s="2"/>
      <c r="I13" s="2"/>
      <c r="J13" s="2"/>
      <c r="O13" s="2"/>
    </row>
    <row r="14" spans="2:22" s="2" customFormat="1" x14ac:dyDescent="0.25">
      <c r="B14" s="12"/>
    </row>
    <row r="15" spans="2:22" x14ac:dyDescent="0.25">
      <c r="B15" s="12" t="s">
        <v>15</v>
      </c>
      <c r="C15">
        <v>66387.036999999997</v>
      </c>
      <c r="E15" s="5">
        <f>C15/66387.037</f>
        <v>1</v>
      </c>
      <c r="G15">
        <v>59652.400999999998</v>
      </c>
      <c r="I15" s="5">
        <f>G15/59652.401</f>
        <v>1</v>
      </c>
      <c r="K15" s="2"/>
      <c r="L15" s="5">
        <v>1</v>
      </c>
      <c r="M15" s="5">
        <v>1</v>
      </c>
      <c r="O15" s="7">
        <f>E15/I15</f>
        <v>1</v>
      </c>
    </row>
    <row r="16" spans="2:22" x14ac:dyDescent="0.25">
      <c r="B16" s="12" t="s">
        <v>19</v>
      </c>
      <c r="C16">
        <v>41926.692999999999</v>
      </c>
      <c r="E16" s="5">
        <f>C16/66387.037</f>
        <v>0.63154939419875</v>
      </c>
      <c r="G16">
        <v>51724.108</v>
      </c>
      <c r="I16" s="5">
        <f>G16/59652.401</f>
        <v>0.86709180406669639</v>
      </c>
      <c r="K16" s="2"/>
      <c r="L16" s="5">
        <v>0.63154939419875</v>
      </c>
      <c r="M16" s="5">
        <v>0.86709180406669639</v>
      </c>
      <c r="O16" s="7">
        <f>E16/I16</f>
        <v>0.72835355061223883</v>
      </c>
    </row>
    <row r="17" spans="2:15" x14ac:dyDescent="0.25">
      <c r="B17" s="12" t="s">
        <v>23</v>
      </c>
      <c r="C17">
        <v>66201.551000000007</v>
      </c>
      <c r="E17" s="5">
        <f>C17/66387.037</f>
        <v>0.99720599068158455</v>
      </c>
      <c r="G17">
        <v>61869.258000000002</v>
      </c>
      <c r="I17" s="5">
        <f>G17/59652.401</f>
        <v>1.0371629131910383</v>
      </c>
      <c r="K17" s="2"/>
      <c r="L17" s="5">
        <v>0.99720599068158455</v>
      </c>
      <c r="M17" s="5">
        <v>1.0371629131910383</v>
      </c>
      <c r="O17" s="7">
        <f>E17/I17</f>
        <v>0.96147478664994079</v>
      </c>
    </row>
    <row r="18" spans="2:15" x14ac:dyDescent="0.25">
      <c r="B18" s="12" t="s">
        <v>27</v>
      </c>
      <c r="C18">
        <v>50645.521999999997</v>
      </c>
      <c r="E18" s="5">
        <f>C18/66387.037</f>
        <v>0.76288269952460752</v>
      </c>
      <c r="G18">
        <v>43154.400999999998</v>
      </c>
      <c r="I18" s="5">
        <f>G18/59652.401</f>
        <v>0.72343108201126727</v>
      </c>
      <c r="K18" s="2"/>
      <c r="L18" s="5">
        <v>0.76288269952460752</v>
      </c>
      <c r="M18" s="5">
        <v>0.72343108201126727</v>
      </c>
      <c r="O18" s="7">
        <f>E18/I18</f>
        <v>1.0545340371658594</v>
      </c>
    </row>
    <row r="19" spans="2:15" x14ac:dyDescent="0.25">
      <c r="B19" s="12"/>
      <c r="E19" s="2"/>
      <c r="G19" s="2"/>
      <c r="K19" s="2"/>
    </row>
    <row r="20" spans="2:15" x14ac:dyDescent="0.25">
      <c r="B20" s="12"/>
      <c r="G20" s="2"/>
    </row>
    <row r="21" spans="2:15" x14ac:dyDescent="0.25">
      <c r="B21" s="12"/>
      <c r="G21" s="2"/>
    </row>
    <row r="22" spans="2:15" s="2" customFormat="1" x14ac:dyDescent="0.25">
      <c r="B22" s="12"/>
      <c r="C22" s="10"/>
      <c r="H22" s="10"/>
      <c r="O22" s="2" t="s">
        <v>2</v>
      </c>
    </row>
    <row r="23" spans="2:15" x14ac:dyDescent="0.25">
      <c r="B23" s="12" t="s">
        <v>16</v>
      </c>
      <c r="C23">
        <v>57991.885999999999</v>
      </c>
      <c r="E23" s="5">
        <f>C23/57991.886</f>
        <v>1</v>
      </c>
      <c r="F23" s="2"/>
      <c r="G23">
        <v>68969.370999999999</v>
      </c>
      <c r="I23" s="5">
        <f>G23/68969.371</f>
        <v>1</v>
      </c>
      <c r="L23" s="5">
        <v>1</v>
      </c>
      <c r="M23" s="5">
        <v>1</v>
      </c>
      <c r="O23" s="7">
        <f>E23/I23</f>
        <v>1</v>
      </c>
    </row>
    <row r="24" spans="2:15" x14ac:dyDescent="0.25">
      <c r="B24" s="12" t="s">
        <v>20</v>
      </c>
      <c r="C24">
        <v>38725.158000000003</v>
      </c>
      <c r="E24" s="5">
        <f>C24/57991.886</f>
        <v>0.66776855644943167</v>
      </c>
      <c r="F24" s="2"/>
      <c r="G24">
        <v>66168.966</v>
      </c>
      <c r="I24" s="5">
        <f>G24/68969.371</f>
        <v>0.95939639640906682</v>
      </c>
      <c r="L24" s="5">
        <v>0.66776855644943167</v>
      </c>
      <c r="M24" s="5">
        <v>0.95939639640906682</v>
      </c>
      <c r="O24" s="7">
        <f>E24/I24</f>
        <v>0.69602987769062763</v>
      </c>
    </row>
    <row r="25" spans="2:15" x14ac:dyDescent="0.25">
      <c r="B25" s="12" t="s">
        <v>24</v>
      </c>
      <c r="C25">
        <v>44331.228999999999</v>
      </c>
      <c r="E25" s="5">
        <f>C25/57991.886</f>
        <v>0.76443847678966681</v>
      </c>
      <c r="F25" s="2"/>
      <c r="G25">
        <v>65443.572</v>
      </c>
      <c r="I25" s="5">
        <f>G25/68969.371</f>
        <v>0.94887877112870878</v>
      </c>
      <c r="L25" s="5">
        <v>0.76443847678966681</v>
      </c>
      <c r="M25" s="5">
        <v>0.94887877112870878</v>
      </c>
      <c r="O25" s="7">
        <f>E25/I25</f>
        <v>0.80562290995334751</v>
      </c>
    </row>
    <row r="26" spans="2:15" x14ac:dyDescent="0.25">
      <c r="B26" s="12" t="s">
        <v>28</v>
      </c>
      <c r="C26">
        <v>51987.35</v>
      </c>
      <c r="E26" s="5">
        <f>C26/57991.886</f>
        <v>0.89645903221702428</v>
      </c>
      <c r="F26" s="2"/>
      <c r="G26">
        <v>70608.692999999999</v>
      </c>
      <c r="I26" s="5">
        <f>G26/68969.371</f>
        <v>1.0237688408090599</v>
      </c>
      <c r="L26" s="5">
        <v>0.89645903221702428</v>
      </c>
      <c r="M26" s="5">
        <v>1.0237688408090599</v>
      </c>
      <c r="O26" s="7">
        <f>E26/I26</f>
        <v>0.87564594318828282</v>
      </c>
    </row>
    <row r="27" spans="2:15" s="2" customFormat="1" x14ac:dyDescent="0.25">
      <c r="B27" s="12"/>
    </row>
    <row r="28" spans="2:15" x14ac:dyDescent="0.25">
      <c r="B28" s="12"/>
      <c r="E28" s="2"/>
      <c r="F28" s="2"/>
      <c r="J28" s="2"/>
      <c r="O28" s="2"/>
    </row>
    <row r="29" spans="2:15" x14ac:dyDescent="0.25">
      <c r="B29" s="12" t="s">
        <v>17</v>
      </c>
      <c r="D29">
        <v>47515.550999999999</v>
      </c>
      <c r="E29" s="5">
        <f>D29/47515.551</f>
        <v>1</v>
      </c>
      <c r="F29" s="2"/>
      <c r="G29">
        <v>56673.673000000003</v>
      </c>
      <c r="I29" s="5">
        <f>G29/56673.673</f>
        <v>1</v>
      </c>
      <c r="L29" s="5">
        <v>1</v>
      </c>
      <c r="M29" s="5">
        <v>1</v>
      </c>
      <c r="O29" s="7">
        <f>E29/I29</f>
        <v>1</v>
      </c>
    </row>
    <row r="30" spans="2:15" x14ac:dyDescent="0.25">
      <c r="B30" s="12" t="s">
        <v>21</v>
      </c>
      <c r="D30">
        <v>35738.328999999998</v>
      </c>
      <c r="E30" s="5">
        <f t="shared" ref="E30:E32" si="0">D30/47515.551</f>
        <v>0.75213963108625215</v>
      </c>
      <c r="F30" s="2"/>
      <c r="G30">
        <v>56868.186999999998</v>
      </c>
      <c r="I30" s="5">
        <f>G30/56673.673</f>
        <v>1.0034321756417657</v>
      </c>
      <c r="L30" s="5">
        <v>0.75213963108625215</v>
      </c>
      <c r="M30" s="5">
        <v>1.0034321756417657</v>
      </c>
      <c r="O30" s="7">
        <f>E30/I30</f>
        <v>0.7495669855366216</v>
      </c>
    </row>
    <row r="31" spans="2:15" x14ac:dyDescent="0.25">
      <c r="B31" s="12" t="s">
        <v>25</v>
      </c>
      <c r="D31">
        <v>59651.614000000001</v>
      </c>
      <c r="E31" s="5">
        <f t="shared" si="0"/>
        <v>1.2554124438123426</v>
      </c>
      <c r="F31" s="2"/>
      <c r="G31">
        <v>79126.907000000007</v>
      </c>
      <c r="I31" s="5">
        <f>G31/56673.673</f>
        <v>1.3961845564518114</v>
      </c>
      <c r="L31" s="5">
        <v>1.2554124438123426</v>
      </c>
      <c r="M31" s="5">
        <v>1.3961845564518114</v>
      </c>
      <c r="O31" s="7">
        <f>E31/I31</f>
        <v>0.89917370738062063</v>
      </c>
    </row>
    <row r="32" spans="2:15" x14ac:dyDescent="0.25">
      <c r="B32" s="12" t="s">
        <v>29</v>
      </c>
      <c r="D32">
        <v>39832.966</v>
      </c>
      <c r="E32" s="5">
        <f t="shared" si="0"/>
        <v>0.83831430261642137</v>
      </c>
      <c r="F32" s="2"/>
      <c r="G32">
        <v>49494.53</v>
      </c>
      <c r="I32" s="5">
        <f>G32/56673.673</f>
        <v>0.87332490343443947</v>
      </c>
      <c r="L32" s="5">
        <v>0.83831430261642137</v>
      </c>
      <c r="M32" s="5">
        <v>0.87332490343443947</v>
      </c>
      <c r="O32" s="7">
        <f>E32/I32</f>
        <v>0.95991113882091839</v>
      </c>
    </row>
    <row r="33" spans="2:14" x14ac:dyDescent="0.25">
      <c r="F33" s="2"/>
    </row>
    <row r="34" spans="2:14" x14ac:dyDescent="0.25">
      <c r="F34" s="2"/>
      <c r="I34" s="2"/>
      <c r="J34" s="2"/>
      <c r="K34" s="2"/>
      <c r="L34" s="2"/>
      <c r="M34" s="2"/>
      <c r="N34" s="2"/>
    </row>
    <row r="35" spans="2:14" s="2" customFormat="1" x14ac:dyDescent="0.25">
      <c r="H35" s="10"/>
      <c r="M35" s="10"/>
    </row>
    <row r="36" spans="2:14" x14ac:dyDescent="0.25">
      <c r="I36" s="2"/>
      <c r="J36" s="2"/>
      <c r="K36" s="2"/>
      <c r="L36" s="2"/>
      <c r="M36" s="2"/>
      <c r="N36" s="2"/>
    </row>
    <row r="37" spans="2:14" x14ac:dyDescent="0.25">
      <c r="I37" s="2"/>
      <c r="J37" s="2"/>
      <c r="K37" s="2"/>
      <c r="L37" s="2"/>
      <c r="M37" s="2"/>
      <c r="N37" s="2"/>
    </row>
    <row r="38" spans="2:14" x14ac:dyDescent="0.25">
      <c r="I38" s="2"/>
      <c r="J38" s="2"/>
      <c r="K38" s="2"/>
      <c r="L38" s="2"/>
      <c r="M38" s="2"/>
      <c r="N38" s="2"/>
    </row>
    <row r="39" spans="2:14" x14ac:dyDescent="0.25">
      <c r="I39" s="2"/>
      <c r="J39" s="2"/>
      <c r="K39" s="2"/>
      <c r="L39" s="2"/>
      <c r="M39" s="2"/>
      <c r="N39" s="2"/>
    </row>
    <row r="40" spans="2:14" x14ac:dyDescent="0.25">
      <c r="I40" s="2"/>
      <c r="J40" s="2"/>
      <c r="K40" s="2"/>
      <c r="L40" s="2"/>
      <c r="M40" s="2"/>
      <c r="N40" s="2"/>
    </row>
    <row r="41" spans="2:14" x14ac:dyDescent="0.25">
      <c r="I41" s="2"/>
      <c r="J41" s="2"/>
      <c r="K41" s="2"/>
      <c r="L41" s="2"/>
      <c r="M41" s="2"/>
      <c r="N41" s="2"/>
    </row>
    <row r="46" spans="2:14" x14ac:dyDescent="0.25">
      <c r="E46" t="s">
        <v>5</v>
      </c>
    </row>
    <row r="47" spans="2:14" x14ac:dyDescent="0.25">
      <c r="B47" t="s">
        <v>9</v>
      </c>
      <c r="C47">
        <v>1</v>
      </c>
      <c r="E47">
        <v>0</v>
      </c>
    </row>
    <row r="48" spans="2:14" x14ac:dyDescent="0.25">
      <c r="B48" t="s">
        <v>6</v>
      </c>
      <c r="C48">
        <v>0.70430274999999998</v>
      </c>
      <c r="E48">
        <v>2.3130000000000001E-2</v>
      </c>
    </row>
    <row r="49" spans="2:5" x14ac:dyDescent="0.25">
      <c r="B49" t="s">
        <v>7</v>
      </c>
      <c r="C49">
        <v>0.94844925000000002</v>
      </c>
      <c r="E49">
        <v>6.7739999999999995E-2</v>
      </c>
    </row>
    <row r="50" spans="2:5" x14ac:dyDescent="0.25">
      <c r="B50" t="s">
        <v>8</v>
      </c>
      <c r="C50">
        <v>0.99628024999999998</v>
      </c>
      <c r="E50">
        <v>4.9180000000000001E-2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1"/>
  <sheetViews>
    <sheetView zoomScaleNormal="100" workbookViewId="0">
      <selection activeCell="J33" sqref="J33"/>
    </sheetView>
  </sheetViews>
  <sheetFormatPr baseColWidth="10" defaultColWidth="9.140625" defaultRowHeight="15" x14ac:dyDescent="0.25"/>
  <cols>
    <col min="1" max="1" width="17.5703125" customWidth="1"/>
    <col min="4" max="4" width="20.140625" customWidth="1"/>
    <col min="8" max="8" width="17.28515625" customWidth="1"/>
    <col min="11" max="11" width="11" customWidth="1"/>
    <col min="14" max="14" width="10.42578125" customWidth="1"/>
    <col min="20" max="20" width="10" bestFit="1" customWidth="1"/>
  </cols>
  <sheetData>
    <row r="1" spans="1:20" x14ac:dyDescent="0.25">
      <c r="L1" s="2"/>
      <c r="M1" s="2"/>
      <c r="N1" s="2"/>
      <c r="O1" s="2"/>
      <c r="P1" s="2"/>
      <c r="Q1" s="2"/>
    </row>
    <row r="2" spans="1:20" x14ac:dyDescent="0.25">
      <c r="B2" s="12" t="s">
        <v>11</v>
      </c>
      <c r="C2" s="12"/>
      <c r="D2" s="12" t="s">
        <v>11</v>
      </c>
      <c r="F2" s="12" t="s">
        <v>1</v>
      </c>
      <c r="G2" s="12"/>
      <c r="H2" s="12" t="s">
        <v>1</v>
      </c>
      <c r="K2" s="16" t="s">
        <v>0</v>
      </c>
      <c r="L2" s="16" t="s">
        <v>1</v>
      </c>
      <c r="M2" s="2"/>
      <c r="N2" s="2"/>
      <c r="O2" s="2"/>
      <c r="P2" s="2"/>
      <c r="Q2" s="2"/>
      <c r="R2" s="2"/>
    </row>
    <row r="3" spans="1:20" x14ac:dyDescent="0.25">
      <c r="B3" s="12"/>
      <c r="C3" s="12"/>
      <c r="D3" s="12"/>
      <c r="F3" s="12"/>
      <c r="G3" s="12"/>
      <c r="H3" s="12"/>
      <c r="K3" s="13"/>
      <c r="L3" s="13"/>
      <c r="M3" s="2"/>
      <c r="N3" s="2"/>
      <c r="O3" s="2"/>
      <c r="P3" s="2"/>
      <c r="Q3" s="2"/>
      <c r="R3" s="2"/>
    </row>
    <row r="4" spans="1:20" x14ac:dyDescent="0.25">
      <c r="B4" s="12"/>
      <c r="C4" s="12"/>
      <c r="D4" s="12"/>
      <c r="F4" s="12"/>
      <c r="G4" s="12"/>
      <c r="H4" s="12"/>
      <c r="M4" s="2"/>
      <c r="N4" s="2"/>
      <c r="O4" s="2"/>
      <c r="P4" s="2"/>
      <c r="Q4" s="2"/>
      <c r="R4" s="2"/>
    </row>
    <row r="5" spans="1:20" x14ac:dyDescent="0.25">
      <c r="B5" s="18" t="s">
        <v>12</v>
      </c>
      <c r="C5" s="1"/>
      <c r="D5" s="1" t="s">
        <v>13</v>
      </c>
      <c r="F5" s="1" t="s">
        <v>12</v>
      </c>
      <c r="G5" s="1"/>
      <c r="H5" s="1" t="s">
        <v>13</v>
      </c>
      <c r="N5" s="6" t="s">
        <v>2</v>
      </c>
      <c r="T5" s="19"/>
    </row>
    <row r="6" spans="1:20" x14ac:dyDescent="0.25">
      <c r="A6" t="s">
        <v>14</v>
      </c>
      <c r="B6" s="12">
        <v>27883.664000000001</v>
      </c>
      <c r="D6" s="5">
        <f>B6/27883.664</f>
        <v>1</v>
      </c>
      <c r="F6">
        <v>45532.451000000001</v>
      </c>
      <c r="H6" s="5">
        <f>F6/45532.451</f>
        <v>1</v>
      </c>
      <c r="K6" s="5">
        <v>1</v>
      </c>
      <c r="L6" s="5">
        <v>1</v>
      </c>
      <c r="N6" s="14">
        <f>K6/L6</f>
        <v>1</v>
      </c>
      <c r="Q6" s="20">
        <v>1</v>
      </c>
      <c r="R6" s="20">
        <v>1</v>
      </c>
      <c r="S6" s="21">
        <v>1</v>
      </c>
      <c r="T6" s="21">
        <v>1</v>
      </c>
    </row>
    <row r="7" spans="1:20" x14ac:dyDescent="0.25">
      <c r="A7" t="s">
        <v>18</v>
      </c>
      <c r="B7" s="12">
        <v>22257.154768119537</v>
      </c>
      <c r="D7" s="5">
        <f t="shared" ref="D7:D9" si="0">B7/27883.664</f>
        <v>0.79821485326030095</v>
      </c>
      <c r="F7">
        <v>35122.815510240653</v>
      </c>
      <c r="H7" s="5">
        <f t="shared" ref="H7:H9" si="1">F7/45532.451</f>
        <v>0.77137985631919204</v>
      </c>
      <c r="K7" s="5">
        <v>0.79821485326030095</v>
      </c>
      <c r="L7" s="5">
        <v>0.77137985631919204</v>
      </c>
      <c r="N7" s="14">
        <f>K7/L7</f>
        <v>1.0347883040000008</v>
      </c>
      <c r="Q7" s="20">
        <v>1.0347883</v>
      </c>
      <c r="R7" s="20">
        <v>0.98192679999999999</v>
      </c>
      <c r="S7" s="21">
        <v>0.99575100000000005</v>
      </c>
      <c r="T7" s="21">
        <v>0.79227440000000005</v>
      </c>
    </row>
    <row r="8" spans="1:20" x14ac:dyDescent="0.25">
      <c r="A8" t="s">
        <v>22</v>
      </c>
      <c r="B8" s="12">
        <v>25807.271521136219</v>
      </c>
      <c r="D8" s="5">
        <f t="shared" si="0"/>
        <v>0.92553372903705267</v>
      </c>
      <c r="F8">
        <v>37226.911527582386</v>
      </c>
      <c r="H8" s="5">
        <f t="shared" si="1"/>
        <v>0.8175907668045892</v>
      </c>
      <c r="K8" s="5">
        <v>0.92553372903705267</v>
      </c>
      <c r="L8" s="5">
        <v>0.8175907668045892</v>
      </c>
      <c r="N8" s="14">
        <f>K8/L8</f>
        <v>1.132025662</v>
      </c>
      <c r="Q8" s="20">
        <v>1.1320257</v>
      </c>
      <c r="R8" s="20">
        <v>0.96290929999999997</v>
      </c>
      <c r="S8" s="21">
        <v>1.0555557</v>
      </c>
      <c r="T8" s="21">
        <v>0.79531810000000003</v>
      </c>
    </row>
    <row r="9" spans="1:20" x14ac:dyDescent="0.25">
      <c r="A9" t="s">
        <v>26</v>
      </c>
      <c r="B9" s="12">
        <v>35841.358600097352</v>
      </c>
      <c r="D9" s="5">
        <f t="shared" si="0"/>
        <v>1.2853891296386784</v>
      </c>
      <c r="F9">
        <v>47362.304527864602</v>
      </c>
      <c r="H9" s="5">
        <f t="shared" si="1"/>
        <v>1.0401878986893238</v>
      </c>
      <c r="K9" s="5">
        <v>1.2853891296386784</v>
      </c>
      <c r="L9" s="5">
        <v>1.0401878986893238</v>
      </c>
      <c r="N9" s="14">
        <f>K9/L9</f>
        <v>1.2357278249999999</v>
      </c>
      <c r="Q9" s="20">
        <v>1.2357278</v>
      </c>
      <c r="R9" s="20">
        <v>0.99586399999999997</v>
      </c>
      <c r="S9" s="21">
        <v>1.1286749</v>
      </c>
      <c r="T9" s="21">
        <v>0.81174740000000001</v>
      </c>
    </row>
    <row r="10" spans="1:20" x14ac:dyDescent="0.25">
      <c r="B10" s="12"/>
      <c r="D10" s="2"/>
      <c r="E10" s="2"/>
      <c r="F10" s="2"/>
      <c r="G10" s="2"/>
      <c r="H10" s="2"/>
      <c r="I10" s="2"/>
      <c r="J10" s="2"/>
      <c r="K10" s="2"/>
      <c r="L10" s="2"/>
      <c r="N10" s="17"/>
      <c r="R10" s="2"/>
    </row>
    <row r="11" spans="1:20" x14ac:dyDescent="0.25">
      <c r="B11" s="12"/>
      <c r="D11" s="2"/>
      <c r="E11" s="2"/>
      <c r="F11" s="2"/>
      <c r="G11" s="2"/>
      <c r="H11" s="2"/>
      <c r="I11" s="2"/>
      <c r="J11" s="2"/>
      <c r="K11" s="2"/>
      <c r="L11" s="2"/>
      <c r="N11" s="17"/>
      <c r="R11" s="2"/>
    </row>
    <row r="12" spans="1:20" x14ac:dyDescent="0.25">
      <c r="B12" s="12"/>
      <c r="H12" s="2"/>
      <c r="I12" s="2"/>
      <c r="J12" s="2"/>
      <c r="K12" s="2"/>
      <c r="L12" s="2"/>
      <c r="M12" s="2"/>
      <c r="N12" s="2"/>
      <c r="O12" s="2"/>
      <c r="Q12" s="4"/>
      <c r="S12" s="4"/>
    </row>
    <row r="13" spans="1:20" x14ac:dyDescent="0.25">
      <c r="A13" t="s">
        <v>15</v>
      </c>
      <c r="B13" s="12">
        <v>34995.794000000002</v>
      </c>
      <c r="D13" s="5">
        <f>B13/34995.794</f>
        <v>1</v>
      </c>
      <c r="F13">
        <v>27129.651999999998</v>
      </c>
      <c r="H13" s="5">
        <f>F13/27129.652</f>
        <v>1</v>
      </c>
      <c r="K13" s="5">
        <v>1</v>
      </c>
      <c r="L13" s="5">
        <v>1</v>
      </c>
      <c r="N13" s="14">
        <f>K13/L13</f>
        <v>1</v>
      </c>
      <c r="Q13" s="4"/>
      <c r="S13" s="4"/>
    </row>
    <row r="14" spans="1:20" x14ac:dyDescent="0.25">
      <c r="A14" s="19" t="s">
        <v>19</v>
      </c>
      <c r="B14" s="12">
        <v>42102.545639661235</v>
      </c>
      <c r="D14" s="5">
        <f t="shared" ref="D14:D16" si="2">B14/34995.794</f>
        <v>1.2030744505942981</v>
      </c>
      <c r="F14">
        <v>33239.739095499455</v>
      </c>
      <c r="H14" s="5">
        <f t="shared" ref="H14:H16" si="3">F14/27129.652</f>
        <v>1.2252180417020999</v>
      </c>
      <c r="K14" s="5">
        <v>1.2030744505942981</v>
      </c>
      <c r="L14" s="5">
        <v>1.2252180417020999</v>
      </c>
      <c r="N14" s="14">
        <f>K14/L14</f>
        <v>0.98192681599999987</v>
      </c>
      <c r="Q14" s="4"/>
      <c r="S14" s="4"/>
    </row>
    <row r="15" spans="1:20" x14ac:dyDescent="0.25">
      <c r="A15" s="19" t="s">
        <v>23</v>
      </c>
      <c r="B15" s="12">
        <v>38821.607778978127</v>
      </c>
      <c r="D15" s="5">
        <f t="shared" si="2"/>
        <v>1.1093221025068933</v>
      </c>
      <c r="F15">
        <v>31254.783910430404</v>
      </c>
      <c r="H15" s="5">
        <f t="shared" si="3"/>
        <v>1.1520525184189758</v>
      </c>
      <c r="K15" s="5">
        <v>1.1093221025068933</v>
      </c>
      <c r="L15" s="5">
        <v>1.1520525184189758</v>
      </c>
      <c r="N15" s="14">
        <f>K15/L15</f>
        <v>0.96290931599999996</v>
      </c>
      <c r="Q15" s="4"/>
      <c r="S15" s="4"/>
    </row>
    <row r="16" spans="1:20" x14ac:dyDescent="0.25">
      <c r="A16" s="19" t="s">
        <v>27</v>
      </c>
      <c r="B16" s="12">
        <v>36981.355556173032</v>
      </c>
      <c r="D16" s="5">
        <f t="shared" si="2"/>
        <v>1.0567371483605439</v>
      </c>
      <c r="F16">
        <v>28787.977647861884</v>
      </c>
      <c r="H16" s="5">
        <f t="shared" si="3"/>
        <v>1.0611259461736511</v>
      </c>
      <c r="K16" s="5">
        <v>1.0567371483605439</v>
      </c>
      <c r="L16" s="5">
        <v>1.0611259461736511</v>
      </c>
      <c r="N16" s="14">
        <f>K16/L16</f>
        <v>0.99586401800000002</v>
      </c>
      <c r="R16" s="2"/>
      <c r="S16" s="2"/>
      <c r="T16" s="2"/>
    </row>
    <row r="17" spans="1:20" x14ac:dyDescent="0.25">
      <c r="B17" s="12"/>
      <c r="R17" s="2"/>
      <c r="S17" s="2"/>
      <c r="T17" s="2"/>
    </row>
    <row r="18" spans="1:20" x14ac:dyDescent="0.25">
      <c r="B18" s="12"/>
      <c r="R18" s="2"/>
      <c r="S18" s="2"/>
      <c r="T18" s="2"/>
    </row>
    <row r="19" spans="1:20" x14ac:dyDescent="0.25">
      <c r="B19" s="12"/>
      <c r="Q19" s="2"/>
      <c r="R19" s="2"/>
      <c r="S19" s="2"/>
      <c r="T19" s="2"/>
    </row>
    <row r="20" spans="1:20" x14ac:dyDescent="0.25">
      <c r="A20" t="s">
        <v>16</v>
      </c>
      <c r="B20" s="12">
        <v>49531.279000000002</v>
      </c>
      <c r="D20" s="5">
        <f>B20/49531.279</f>
        <v>1</v>
      </c>
      <c r="F20">
        <v>49008.158000000003</v>
      </c>
      <c r="H20" s="5">
        <f>F20/49008.158</f>
        <v>1</v>
      </c>
      <c r="I20" s="11"/>
      <c r="J20" s="2"/>
      <c r="K20" s="5">
        <v>1</v>
      </c>
      <c r="L20" s="5">
        <v>1</v>
      </c>
      <c r="N20" s="7">
        <f>K20/L20</f>
        <v>1</v>
      </c>
      <c r="T20" s="2"/>
    </row>
    <row r="21" spans="1:20" x14ac:dyDescent="0.25">
      <c r="A21" s="19" t="s">
        <v>20</v>
      </c>
      <c r="B21" s="12">
        <v>36977.628641266718</v>
      </c>
      <c r="D21" s="5">
        <f>B21/49531.279</f>
        <v>0.74655105597549209</v>
      </c>
      <c r="F21">
        <v>36743.213478204532</v>
      </c>
      <c r="H21" s="5">
        <f>F21/49008.158</f>
        <v>0.74973667604900662</v>
      </c>
      <c r="I21" s="11"/>
      <c r="K21" s="5">
        <v>0.74655105597549209</v>
      </c>
      <c r="L21" s="5">
        <v>0.74973667604900662</v>
      </c>
      <c r="N21" s="7">
        <f>K21/L21</f>
        <v>0.99575101475587102</v>
      </c>
      <c r="T21" s="2"/>
    </row>
    <row r="22" spans="1:20" x14ac:dyDescent="0.25">
      <c r="A22" s="19" t="s">
        <v>24</v>
      </c>
      <c r="B22" s="12">
        <v>48464.971223524342</v>
      </c>
      <c r="D22" s="5">
        <f>B22/49531.279</f>
        <v>0.97847203225913748</v>
      </c>
      <c r="F22">
        <v>45429.259136121691</v>
      </c>
      <c r="H22" s="5">
        <f>F22/49008.158</f>
        <v>0.92697340585870802</v>
      </c>
      <c r="I22" s="11"/>
      <c r="K22" s="5">
        <v>0.97847203225913748</v>
      </c>
      <c r="L22" s="5">
        <v>0.92697340585870802</v>
      </c>
      <c r="N22" s="7">
        <f t="shared" ref="N22:N30" si="4">K22/L22</f>
        <v>1.0555556675897551</v>
      </c>
      <c r="T22" s="2"/>
    </row>
    <row r="23" spans="1:20" x14ac:dyDescent="0.25">
      <c r="A23" s="19" t="s">
        <v>28</v>
      </c>
      <c r="B23" s="12">
        <v>38589.03537298851</v>
      </c>
      <c r="D23" s="5">
        <f>B23/49531.279</f>
        <v>0.7790841696817179</v>
      </c>
      <c r="F23">
        <v>33828.588904638331</v>
      </c>
      <c r="H23" s="5">
        <f>F23/49008.158</f>
        <v>0.69026444341446846</v>
      </c>
      <c r="I23" s="11"/>
      <c r="K23" s="5">
        <v>0.7790841696817179</v>
      </c>
      <c r="L23" s="5">
        <v>0.69026444341446846</v>
      </c>
      <c r="N23" s="7">
        <f t="shared" si="4"/>
        <v>1.1286749261310534</v>
      </c>
      <c r="T23" s="2"/>
    </row>
    <row r="24" spans="1:20" x14ac:dyDescent="0.25">
      <c r="B24" s="12"/>
      <c r="C24" s="2"/>
      <c r="D24" s="2"/>
      <c r="E24" s="2"/>
      <c r="F24" s="2"/>
      <c r="G24" s="2"/>
      <c r="H24" s="2"/>
      <c r="I24" s="11"/>
      <c r="J24" s="2"/>
      <c r="K24" s="2"/>
      <c r="L24" s="2"/>
      <c r="M24" s="2"/>
      <c r="N24" s="2"/>
      <c r="O24" s="2"/>
      <c r="T24" s="2"/>
    </row>
    <row r="25" spans="1:20" x14ac:dyDescent="0.25">
      <c r="B25" s="12"/>
      <c r="C25" s="2"/>
      <c r="D25" s="2"/>
      <c r="E25" s="2"/>
      <c r="F25" s="2"/>
      <c r="G25" s="2"/>
      <c r="H25" s="2"/>
      <c r="I25" s="11"/>
      <c r="J25" s="2"/>
      <c r="K25" s="2"/>
      <c r="L25" s="2"/>
      <c r="M25" s="2"/>
      <c r="N25" s="2"/>
      <c r="O25" s="2"/>
      <c r="T25" s="2"/>
    </row>
    <row r="26" spans="1:20" x14ac:dyDescent="0.25">
      <c r="B26" s="12"/>
      <c r="D26" s="2"/>
      <c r="E26" s="2"/>
      <c r="G26" s="2"/>
      <c r="H26" s="11"/>
      <c r="I26" s="11"/>
      <c r="K26" s="2"/>
      <c r="L26" s="2"/>
      <c r="N26" s="2"/>
      <c r="T26" s="2"/>
    </row>
    <row r="27" spans="1:20" x14ac:dyDescent="0.25">
      <c r="A27" t="s">
        <v>17</v>
      </c>
      <c r="B27" s="12">
        <v>47943.692999999999</v>
      </c>
      <c r="D27" s="5">
        <f>B27/47943.693</f>
        <v>1</v>
      </c>
      <c r="E27" s="2"/>
      <c r="F27" s="2">
        <v>28689.601999999999</v>
      </c>
      <c r="H27" s="5">
        <f>F27/28689.602</f>
        <v>1</v>
      </c>
      <c r="I27" s="11"/>
      <c r="J27" s="2"/>
      <c r="K27" s="5">
        <v>1</v>
      </c>
      <c r="L27" s="5">
        <v>1</v>
      </c>
      <c r="N27" s="7">
        <f t="shared" si="4"/>
        <v>1</v>
      </c>
      <c r="T27" s="2"/>
    </row>
    <row r="28" spans="1:20" x14ac:dyDescent="0.25">
      <c r="A28" s="19" t="s">
        <v>21</v>
      </c>
      <c r="B28" s="12">
        <v>46023.440660947046</v>
      </c>
      <c r="D28" s="5">
        <f t="shared" ref="D28:D30" si="5">B28/47943.693</f>
        <v>0.95994775915462016</v>
      </c>
      <c r="F28">
        <v>34761.339551220175</v>
      </c>
      <c r="H28" s="5">
        <f t="shared" ref="H28:H30" si="6">F28/28689.602</f>
        <v>1.2116354751529901</v>
      </c>
      <c r="I28" s="11"/>
      <c r="K28" s="5">
        <v>0.95994775915462005</v>
      </c>
      <c r="L28" s="5">
        <v>1.2116354751529901</v>
      </c>
      <c r="N28" s="7">
        <f>K28/L28</f>
        <v>0.7922743917954449</v>
      </c>
      <c r="T28" s="2"/>
    </row>
    <row r="29" spans="1:20" x14ac:dyDescent="0.25">
      <c r="A29" s="19" t="s">
        <v>25</v>
      </c>
      <c r="B29" s="12">
        <v>41735.266850458604</v>
      </c>
      <c r="D29" s="5">
        <f t="shared" si="5"/>
        <v>0.87050588385960603</v>
      </c>
      <c r="F29">
        <v>31401.861126041997</v>
      </c>
      <c r="H29" s="5">
        <f t="shared" si="6"/>
        <v>1.0945380534049234</v>
      </c>
      <c r="I29" s="11"/>
      <c r="K29" s="5">
        <v>0.87050588385960592</v>
      </c>
      <c r="L29" s="5">
        <v>1.0945380534049234</v>
      </c>
      <c r="N29" s="7">
        <f t="shared" si="4"/>
        <v>0.79531806240231562</v>
      </c>
      <c r="T29" s="2"/>
    </row>
    <row r="30" spans="1:20" x14ac:dyDescent="0.25">
      <c r="A30" s="19" t="s">
        <v>29</v>
      </c>
      <c r="B30" s="12">
        <v>34624.825637789771</v>
      </c>
      <c r="D30" s="5">
        <f t="shared" si="5"/>
        <v>0.72219771718022996</v>
      </c>
      <c r="F30">
        <v>25524.646652312334</v>
      </c>
      <c r="H30" s="5">
        <f t="shared" si="6"/>
        <v>0.88968284231730843</v>
      </c>
      <c r="I30" s="11"/>
      <c r="K30" s="5">
        <v>0.72219771718022996</v>
      </c>
      <c r="L30" s="5">
        <v>0.88968284231730843</v>
      </c>
      <c r="N30" s="7">
        <f t="shared" si="4"/>
        <v>0.81174738100957522</v>
      </c>
      <c r="T30" s="2"/>
    </row>
    <row r="31" spans="1:20" x14ac:dyDescent="0.25">
      <c r="R31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84"/>
  <sheetViews>
    <sheetView zoomScale="93" zoomScaleNormal="93" workbookViewId="0">
      <selection activeCell="I40" sqref="I40"/>
    </sheetView>
  </sheetViews>
  <sheetFormatPr baseColWidth="10" defaultColWidth="9.140625" defaultRowHeight="15" x14ac:dyDescent="0.25"/>
  <cols>
    <col min="1" max="1" width="9.140625" style="2"/>
    <col min="5" max="5" width="15.85546875" customWidth="1"/>
    <col min="9" max="9" width="12.7109375" customWidth="1"/>
  </cols>
  <sheetData>
    <row r="2" spans="2:21" x14ac:dyDescent="0.25">
      <c r="C2" s="12" t="s">
        <v>11</v>
      </c>
      <c r="D2" s="12"/>
      <c r="E2" s="12" t="s">
        <v>11</v>
      </c>
      <c r="G2" s="12" t="s">
        <v>1</v>
      </c>
      <c r="H2" s="12"/>
      <c r="I2" s="12" t="s">
        <v>1</v>
      </c>
      <c r="L2" s="16" t="s">
        <v>31</v>
      </c>
      <c r="M2" s="16" t="s">
        <v>1</v>
      </c>
      <c r="N2" s="2"/>
      <c r="O2" s="2"/>
    </row>
    <row r="3" spans="2:21" x14ac:dyDescent="0.25">
      <c r="C3" s="12"/>
      <c r="D3" s="12"/>
      <c r="E3" s="12"/>
      <c r="G3" s="12"/>
      <c r="H3" s="12"/>
      <c r="I3" s="12"/>
      <c r="L3" s="13"/>
      <c r="M3" s="13"/>
      <c r="N3" s="2"/>
      <c r="O3" s="2"/>
    </row>
    <row r="4" spans="2:21" x14ac:dyDescent="0.25">
      <c r="C4" s="12"/>
      <c r="D4" s="12"/>
      <c r="E4" s="12"/>
      <c r="G4" s="12"/>
      <c r="H4" s="12"/>
      <c r="I4" s="12"/>
      <c r="N4" s="2"/>
      <c r="O4" s="2"/>
    </row>
    <row r="5" spans="2:21" x14ac:dyDescent="0.25">
      <c r="C5" s="18" t="s">
        <v>12</v>
      </c>
      <c r="D5" s="1"/>
      <c r="E5" s="1" t="s">
        <v>13</v>
      </c>
      <c r="G5" s="1" t="s">
        <v>12</v>
      </c>
      <c r="H5" s="1"/>
      <c r="I5" s="1" t="s">
        <v>13</v>
      </c>
      <c r="O5" s="6" t="s">
        <v>2</v>
      </c>
    </row>
    <row r="6" spans="2:21" x14ac:dyDescent="0.25">
      <c r="B6" s="23" t="s">
        <v>14</v>
      </c>
      <c r="C6">
        <v>9777.8739999999998</v>
      </c>
      <c r="E6" s="5">
        <f>C6/9777.874</f>
        <v>1</v>
      </c>
      <c r="G6">
        <v>30754.923999999999</v>
      </c>
      <c r="I6" s="5">
        <v>1</v>
      </c>
      <c r="L6" s="22">
        <v>1</v>
      </c>
      <c r="M6" s="22">
        <v>1</v>
      </c>
      <c r="O6" s="8">
        <f>E6/I6</f>
        <v>1</v>
      </c>
      <c r="R6" s="24">
        <v>1</v>
      </c>
      <c r="S6" s="24">
        <v>1</v>
      </c>
      <c r="T6" s="24">
        <v>1</v>
      </c>
      <c r="U6" s="24">
        <v>1</v>
      </c>
    </row>
    <row r="7" spans="2:21" x14ac:dyDescent="0.25">
      <c r="B7" s="23" t="s">
        <v>18</v>
      </c>
      <c r="C7">
        <v>52989.614000000001</v>
      </c>
      <c r="E7" s="5">
        <f t="shared" ref="E7:E9" si="0">C7/9777.874</f>
        <v>5.4193390096865643</v>
      </c>
      <c r="G7">
        <v>55764.898435530828</v>
      </c>
      <c r="I7" s="5">
        <v>1.8132022838206601</v>
      </c>
      <c r="L7" s="22">
        <v>5.4193389999999999</v>
      </c>
      <c r="M7" s="22">
        <v>1.813202</v>
      </c>
      <c r="N7" s="2"/>
      <c r="O7" s="8">
        <f t="shared" ref="O7:O9" si="1">E7/I7</f>
        <v>2.988822073545645</v>
      </c>
      <c r="P7" s="2"/>
      <c r="Q7" s="2"/>
      <c r="R7" s="24">
        <v>2.9888219999999999</v>
      </c>
      <c r="S7" s="24">
        <v>2.0522089999999999</v>
      </c>
      <c r="T7" s="24">
        <v>1.2590300000000001</v>
      </c>
      <c r="U7" s="24">
        <v>4.6389259999999997</v>
      </c>
    </row>
    <row r="8" spans="2:21" x14ac:dyDescent="0.25">
      <c r="B8" s="23" t="s">
        <v>22</v>
      </c>
      <c r="C8">
        <v>27672.3</v>
      </c>
      <c r="E8" s="5">
        <f t="shared" si="0"/>
        <v>2.8300937402138748</v>
      </c>
      <c r="G8">
        <v>56152.150487382176</v>
      </c>
      <c r="I8" s="5">
        <v>1.8257938301971475</v>
      </c>
      <c r="L8" s="22">
        <v>2.8300939999999999</v>
      </c>
      <c r="M8" s="22">
        <v>1.8257939999999999</v>
      </c>
      <c r="N8" s="2"/>
      <c r="O8" s="8">
        <f t="shared" si="1"/>
        <v>1.5500620570660402</v>
      </c>
      <c r="P8" s="2"/>
      <c r="Q8" s="2"/>
      <c r="R8" s="24">
        <v>1.5500620000000001</v>
      </c>
      <c r="S8" s="24">
        <v>1.371634</v>
      </c>
      <c r="T8" s="24">
        <v>0.56250900000000004</v>
      </c>
      <c r="U8" s="24">
        <v>2.1458870000000001</v>
      </c>
    </row>
    <row r="9" spans="2:21" x14ac:dyDescent="0.25">
      <c r="B9" s="23" t="s">
        <v>26</v>
      </c>
      <c r="C9">
        <v>17269.764999999999</v>
      </c>
      <c r="E9" s="5">
        <f t="shared" si="0"/>
        <v>1.7662085848109721</v>
      </c>
      <c r="G9">
        <v>51053.143378050292</v>
      </c>
      <c r="I9" s="5">
        <v>1.6599990095260939</v>
      </c>
      <c r="L9" s="22">
        <v>1.7662089999999999</v>
      </c>
      <c r="M9" s="22">
        <v>1.659999</v>
      </c>
      <c r="N9" s="2"/>
      <c r="O9" s="8">
        <f t="shared" si="1"/>
        <v>1.0639817100343931</v>
      </c>
      <c r="P9" s="2"/>
      <c r="Q9" s="2"/>
      <c r="R9" s="24">
        <v>1.063982</v>
      </c>
      <c r="S9" s="24">
        <v>1.2486250000000001</v>
      </c>
      <c r="T9" s="24">
        <v>0.56415800000000005</v>
      </c>
      <c r="U9" s="24">
        <v>0.84997299999999998</v>
      </c>
    </row>
    <row r="10" spans="2:21" x14ac:dyDescent="0.25">
      <c r="B10" s="27"/>
      <c r="M10" s="2"/>
      <c r="N10" s="2"/>
      <c r="O10" s="2"/>
      <c r="P10" s="2"/>
      <c r="Q10" s="2"/>
      <c r="R10" s="2"/>
      <c r="S10" s="2"/>
      <c r="T10" s="2"/>
    </row>
    <row r="11" spans="2:21" x14ac:dyDescent="0.25">
      <c r="B11" s="27"/>
      <c r="M11" s="2"/>
      <c r="N11" s="2"/>
      <c r="O11" s="2"/>
      <c r="P11" s="2"/>
      <c r="Q11" s="2"/>
      <c r="R11" s="2"/>
      <c r="S11" s="2"/>
      <c r="T11" s="2"/>
    </row>
    <row r="12" spans="2:21" x14ac:dyDescent="0.25">
      <c r="B12" s="23" t="s">
        <v>15</v>
      </c>
      <c r="C12">
        <v>15242.936</v>
      </c>
      <c r="E12" s="5">
        <f>C12/15242.936</f>
        <v>1</v>
      </c>
      <c r="G12">
        <v>25839.38</v>
      </c>
      <c r="I12" s="5">
        <f>G12/25839.38</f>
        <v>1</v>
      </c>
      <c r="L12" s="22">
        <v>1</v>
      </c>
      <c r="M12" s="22">
        <v>1</v>
      </c>
      <c r="N12" s="2"/>
      <c r="O12" s="8">
        <f>E12/I12</f>
        <v>1</v>
      </c>
      <c r="P12" s="2"/>
      <c r="Q12" s="2"/>
      <c r="R12" s="2"/>
      <c r="S12" s="2"/>
      <c r="T12" s="2"/>
    </row>
    <row r="13" spans="2:21" x14ac:dyDescent="0.25">
      <c r="B13" s="23" t="s">
        <v>19</v>
      </c>
      <c r="C13">
        <v>64196.561364187721</v>
      </c>
      <c r="E13" s="5">
        <f t="shared" ref="E13:E15" si="2">C13/15242.936</f>
        <v>4.2115614317469889</v>
      </c>
      <c r="G13">
        <v>53027.805999999997</v>
      </c>
      <c r="I13" s="5">
        <f t="shared" ref="I13:I15" si="3">G13/25839.38</f>
        <v>2.0522089152293899</v>
      </c>
      <c r="L13" s="22">
        <v>4.2115614319999999</v>
      </c>
      <c r="M13" s="22">
        <v>2.052208915</v>
      </c>
      <c r="N13" s="2"/>
      <c r="O13" s="8">
        <f>E13/I13</f>
        <v>2.0522089152293899</v>
      </c>
      <c r="P13" s="2"/>
      <c r="Q13" s="2"/>
      <c r="R13" s="2"/>
      <c r="S13" s="2"/>
      <c r="T13" s="2"/>
    </row>
    <row r="14" spans="2:21" x14ac:dyDescent="0.25">
      <c r="B14" s="23" t="s">
        <v>23</v>
      </c>
      <c r="C14">
        <v>28677.76342994185</v>
      </c>
      <c r="E14" s="5">
        <f t="shared" si="2"/>
        <v>1.8813805575213234</v>
      </c>
      <c r="G14">
        <v>35442.178999999996</v>
      </c>
      <c r="I14" s="5">
        <f t="shared" si="3"/>
        <v>1.3716342652184377</v>
      </c>
      <c r="L14" s="22">
        <v>1.881380558</v>
      </c>
      <c r="M14" s="22">
        <v>1.371634265</v>
      </c>
      <c r="N14" s="2"/>
      <c r="O14" s="8">
        <f>E14/I14</f>
        <v>1.3716342652184377</v>
      </c>
      <c r="P14" s="2"/>
      <c r="Q14" s="2"/>
      <c r="R14" s="2"/>
      <c r="S14" s="2"/>
      <c r="T14" s="2"/>
    </row>
    <row r="15" spans="2:21" x14ac:dyDescent="0.25">
      <c r="B15" s="23" t="s">
        <v>27</v>
      </c>
      <c r="C15">
        <v>23764.714524000301</v>
      </c>
      <c r="E15" s="5">
        <f t="shared" si="2"/>
        <v>1.5590641149448048</v>
      </c>
      <c r="G15">
        <v>32263.692999999999</v>
      </c>
      <c r="I15" s="5">
        <f t="shared" si="3"/>
        <v>1.2486248896064842</v>
      </c>
      <c r="L15" s="22">
        <v>1.559064115</v>
      </c>
      <c r="M15" s="22">
        <v>1.2486248900000001</v>
      </c>
      <c r="N15" s="2"/>
      <c r="O15" s="8">
        <f>E15/I15</f>
        <v>1.2486248896064842</v>
      </c>
      <c r="P15" s="2"/>
      <c r="Q15" s="2"/>
      <c r="R15" s="2"/>
      <c r="S15" s="2"/>
      <c r="T15" s="2"/>
    </row>
    <row r="16" spans="2:21" x14ac:dyDescent="0.25">
      <c r="B16" s="27"/>
      <c r="C16" s="2"/>
      <c r="D16" s="2"/>
      <c r="E16" s="2"/>
      <c r="F16" s="2"/>
      <c r="G16" s="2"/>
      <c r="H16" s="2"/>
      <c r="I16" s="2"/>
      <c r="J16" s="2"/>
      <c r="K16" s="2"/>
      <c r="L16" s="27"/>
      <c r="M16" s="27"/>
      <c r="N16" s="2"/>
      <c r="O16" s="2"/>
      <c r="P16" s="2"/>
      <c r="Q16" s="2"/>
      <c r="R16" s="2"/>
      <c r="S16" s="2"/>
      <c r="T16" s="2"/>
    </row>
    <row r="17" spans="2:20" x14ac:dyDescent="0.25">
      <c r="B17" s="27"/>
      <c r="C17" s="2"/>
      <c r="D17" s="2"/>
      <c r="E17" s="2"/>
      <c r="F17" s="2"/>
      <c r="G17" s="2"/>
      <c r="H17" s="2"/>
      <c r="I17" s="2"/>
      <c r="J17" s="2"/>
      <c r="K17" s="2"/>
      <c r="L17" s="27"/>
      <c r="M17" s="27"/>
      <c r="N17" s="2"/>
      <c r="O17" s="2"/>
      <c r="P17" s="2"/>
      <c r="Q17" s="2"/>
      <c r="R17" s="2"/>
      <c r="S17" s="2"/>
      <c r="T17" s="2"/>
    </row>
    <row r="18" spans="2:20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20" x14ac:dyDescent="0.25">
      <c r="B19" s="23" t="s">
        <v>16</v>
      </c>
      <c r="C19">
        <v>38677.057000000001</v>
      </c>
      <c r="E19" s="5">
        <f>C19/38677.057</f>
        <v>1</v>
      </c>
      <c r="G19">
        <v>38677.057000000001</v>
      </c>
      <c r="H19" s="2"/>
      <c r="I19" s="5">
        <f>G19/38677.057</f>
        <v>1</v>
      </c>
      <c r="L19" s="15">
        <v>1</v>
      </c>
      <c r="M19" s="15">
        <v>1</v>
      </c>
      <c r="O19" s="8">
        <f>E19/I19</f>
        <v>1</v>
      </c>
    </row>
    <row r="20" spans="2:20" x14ac:dyDescent="0.25">
      <c r="B20" s="23" t="s">
        <v>20</v>
      </c>
      <c r="C20">
        <v>58483.86913551727</v>
      </c>
      <c r="E20" s="5">
        <f t="shared" ref="E20:E22" si="4">C20/38677.057</f>
        <v>1.5121075301959317</v>
      </c>
      <c r="G20">
        <v>46451.512999999999</v>
      </c>
      <c r="H20" s="2"/>
      <c r="I20" s="5">
        <f t="shared" ref="I20:I21" si="5">G20/38677.057</f>
        <v>1.2010095028688454</v>
      </c>
      <c r="L20" s="15">
        <v>1.5121075301959317</v>
      </c>
      <c r="M20" s="15">
        <v>1.2010095028688454</v>
      </c>
      <c r="O20" s="8">
        <f>E20/I20</f>
        <v>1.2590304461238382</v>
      </c>
    </row>
    <row r="21" spans="2:20" x14ac:dyDescent="0.25">
      <c r="B21" s="23" t="s">
        <v>24</v>
      </c>
      <c r="C21">
        <v>16198.524257652791</v>
      </c>
      <c r="E21" s="5">
        <f>C21/38677.057</f>
        <v>0.41881480945286997</v>
      </c>
      <c r="G21">
        <v>28796.936000000002</v>
      </c>
      <c r="H21" s="2"/>
      <c r="I21" s="5">
        <f t="shared" si="5"/>
        <v>0.74454827315325467</v>
      </c>
      <c r="L21" s="15">
        <v>0.41881480945286997</v>
      </c>
      <c r="M21" s="15">
        <v>0.74454827315325467</v>
      </c>
      <c r="O21" s="8">
        <f t="shared" ref="O21:O22" si="6">E21/I21</f>
        <v>0.56250860361160615</v>
      </c>
    </row>
    <row r="22" spans="2:20" x14ac:dyDescent="0.25">
      <c r="B22" s="23" t="s">
        <v>28</v>
      </c>
      <c r="C22">
        <v>14428.254746025937</v>
      </c>
      <c r="E22" s="5">
        <f t="shared" si="4"/>
        <v>0.37304427650805844</v>
      </c>
      <c r="G22">
        <v>25574.835999999999</v>
      </c>
      <c r="H22" s="2"/>
      <c r="I22" s="5">
        <f>G22/38677.057</f>
        <v>0.66124048683435244</v>
      </c>
      <c r="L22" s="15">
        <v>0.37304427650805844</v>
      </c>
      <c r="M22" s="15">
        <v>0.66124048683435244</v>
      </c>
      <c r="O22" s="8">
        <f t="shared" si="6"/>
        <v>0.56415825094737415</v>
      </c>
    </row>
    <row r="23" spans="2:20" s="2" customFormat="1" x14ac:dyDescent="0.25">
      <c r="B23" s="27"/>
    </row>
    <row r="24" spans="2:20" s="2" customFormat="1" x14ac:dyDescent="0.25"/>
    <row r="25" spans="2:20" x14ac:dyDescent="0.25">
      <c r="B25" s="23" t="s">
        <v>17</v>
      </c>
      <c r="C25">
        <v>9456.61</v>
      </c>
      <c r="E25" s="15">
        <f>C25/9456.61</f>
        <v>1</v>
      </c>
      <c r="G25">
        <f>I25*24161.451</f>
        <v>24161.451000000001</v>
      </c>
      <c r="I25" s="15">
        <v>1</v>
      </c>
      <c r="L25" s="22">
        <v>1</v>
      </c>
      <c r="M25" s="22">
        <v>1</v>
      </c>
      <c r="O25" s="8">
        <f>E25/I25</f>
        <v>1</v>
      </c>
    </row>
    <row r="26" spans="2:20" x14ac:dyDescent="0.25">
      <c r="B26" s="23" t="s">
        <v>21</v>
      </c>
      <c r="C26">
        <v>36483.743999999999</v>
      </c>
      <c r="E26" s="15">
        <f>C26/9456.61</f>
        <v>3.8580150815144112</v>
      </c>
      <c r="G26">
        <f>I26*24161.451</f>
        <v>20094.14215958655</v>
      </c>
      <c r="I26" s="15">
        <v>0.831661234235748</v>
      </c>
      <c r="L26" s="22">
        <v>3.8580150820000001</v>
      </c>
      <c r="M26" s="22">
        <v>0.83166123400000003</v>
      </c>
      <c r="O26" s="8">
        <f>E26/I26</f>
        <v>4.6389261909745256</v>
      </c>
    </row>
    <row r="27" spans="2:20" x14ac:dyDescent="0.25">
      <c r="B27" s="23" t="s">
        <v>25</v>
      </c>
      <c r="C27">
        <v>16781.370999999999</v>
      </c>
      <c r="E27" s="15">
        <f>C27/9456.61</f>
        <v>1.7745651983110224</v>
      </c>
      <c r="G27">
        <f>I27*24161.451</f>
        <v>19980.578639942025</v>
      </c>
      <c r="I27" s="15">
        <v>0.82696103971330293</v>
      </c>
      <c r="L27" s="22">
        <v>1.7745651979999999</v>
      </c>
      <c r="M27" s="22">
        <v>0.82696104000000004</v>
      </c>
      <c r="O27" s="8">
        <f>E27/I27</f>
        <v>2.14588730676628</v>
      </c>
    </row>
    <row r="28" spans="2:20" x14ac:dyDescent="0.25">
      <c r="B28" s="23" t="s">
        <v>29</v>
      </c>
      <c r="C28">
        <v>9549.5810000000001</v>
      </c>
      <c r="E28" s="15">
        <f>C28/9456.61</f>
        <v>1.0098313243329269</v>
      </c>
      <c r="G28">
        <f>I28*24161.451</f>
        <v>28705.597337133371</v>
      </c>
      <c r="I28" s="15">
        <v>1.1880742318469768</v>
      </c>
      <c r="L28" s="22">
        <v>1.0098313240000001</v>
      </c>
      <c r="M28" s="22">
        <v>1.188074232</v>
      </c>
      <c r="O28" s="8">
        <f>E28/I28</f>
        <v>0.84997325694291503</v>
      </c>
    </row>
    <row r="29" spans="2:20" x14ac:dyDescent="0.25">
      <c r="B29" s="19"/>
    </row>
    <row r="30" spans="2:20" x14ac:dyDescent="0.25">
      <c r="B30" s="2"/>
      <c r="C30" s="2"/>
      <c r="D30" s="2"/>
      <c r="E30" s="2"/>
    </row>
    <row r="31" spans="2:20" x14ac:dyDescent="0.25">
      <c r="B31" s="2"/>
      <c r="C31" s="2"/>
      <c r="D31" s="2"/>
      <c r="E31" s="2"/>
    </row>
    <row r="32" spans="2:20" x14ac:dyDescent="0.25">
      <c r="B32" s="2"/>
      <c r="C32" s="2"/>
      <c r="D32" s="2"/>
      <c r="E32" s="2"/>
    </row>
    <row r="33" spans="2:13" x14ac:dyDescent="0.25">
      <c r="B33" s="2"/>
      <c r="C33" s="2"/>
      <c r="D33" s="2"/>
      <c r="E33" s="2"/>
    </row>
    <row r="34" spans="2:13" x14ac:dyDescent="0.25">
      <c r="B34" s="2"/>
      <c r="C34" s="2"/>
      <c r="D34" s="2"/>
      <c r="E34" s="2"/>
      <c r="G34" s="9"/>
      <c r="H34" s="9" t="s">
        <v>10</v>
      </c>
      <c r="I34" s="9" t="s">
        <v>5</v>
      </c>
    </row>
    <row r="35" spans="2:13" x14ac:dyDescent="0.25">
      <c r="B35" s="2"/>
      <c r="C35" s="2"/>
      <c r="D35" s="2"/>
      <c r="E35" s="2"/>
      <c r="G35" s="9" t="s">
        <v>9</v>
      </c>
      <c r="H35">
        <v>1</v>
      </c>
      <c r="I35">
        <v>0</v>
      </c>
      <c r="K35" s="2"/>
      <c r="L35" s="2"/>
      <c r="M35" s="2"/>
    </row>
    <row r="36" spans="2:13" x14ac:dyDescent="0.25">
      <c r="B36" s="2"/>
      <c r="C36" s="2"/>
      <c r="D36" s="2"/>
      <c r="E36" s="2"/>
      <c r="G36" s="9" t="s">
        <v>6</v>
      </c>
      <c r="H36">
        <v>2.7347469064683496</v>
      </c>
      <c r="I36">
        <v>0.72650000000000003</v>
      </c>
      <c r="K36" s="2"/>
      <c r="L36" s="2"/>
      <c r="M36" s="2"/>
    </row>
    <row r="37" spans="2:13" x14ac:dyDescent="0.25">
      <c r="B37" s="2"/>
      <c r="C37" s="2"/>
      <c r="D37" s="2"/>
      <c r="E37" s="2"/>
      <c r="G37" s="9" t="s">
        <v>7</v>
      </c>
      <c r="H37">
        <v>1.4075230581655911</v>
      </c>
      <c r="I37">
        <v>0.32669999999999999</v>
      </c>
      <c r="K37" s="2"/>
      <c r="L37" s="2"/>
      <c r="M37" s="2"/>
    </row>
    <row r="38" spans="2:13" x14ac:dyDescent="0.25">
      <c r="B38" s="2"/>
      <c r="C38" s="2"/>
      <c r="D38" s="2"/>
      <c r="E38" s="2"/>
      <c r="G38" s="9" t="s">
        <v>8</v>
      </c>
      <c r="H38">
        <v>0.93168452688279157</v>
      </c>
      <c r="I38">
        <v>0.14710000000000001</v>
      </c>
      <c r="K38" s="2"/>
      <c r="L38" s="2"/>
      <c r="M38" s="2"/>
    </row>
    <row r="39" spans="2:13" x14ac:dyDescent="0.25">
      <c r="B39" s="2"/>
      <c r="C39" s="2"/>
      <c r="D39" s="2"/>
      <c r="E39" s="2"/>
      <c r="K39" s="2"/>
      <c r="L39" s="2"/>
      <c r="M39" s="2"/>
    </row>
    <row r="40" spans="2:13" x14ac:dyDescent="0.25">
      <c r="B40" s="2"/>
      <c r="C40" s="2"/>
      <c r="D40" s="2"/>
      <c r="E40" s="2"/>
      <c r="I40" s="4"/>
      <c r="J40" s="4"/>
      <c r="K40" s="4"/>
      <c r="L40" s="4"/>
    </row>
    <row r="41" spans="2:13" x14ac:dyDescent="0.25">
      <c r="B41" s="2"/>
      <c r="C41" s="2"/>
      <c r="D41" s="2"/>
      <c r="E41" s="2"/>
    </row>
    <row r="42" spans="2:13" x14ac:dyDescent="0.25">
      <c r="B42" s="2"/>
      <c r="C42" s="2"/>
      <c r="D42" s="2"/>
      <c r="E42" s="2"/>
    </row>
    <row r="43" spans="2:13" x14ac:dyDescent="0.25">
      <c r="B43" s="2"/>
      <c r="C43" s="2"/>
      <c r="D43" s="2"/>
      <c r="E43" s="2"/>
    </row>
    <row r="44" spans="2:13" x14ac:dyDescent="0.25">
      <c r="B44" s="2"/>
      <c r="C44" s="2"/>
      <c r="D44" s="2"/>
      <c r="E44" s="2"/>
    </row>
    <row r="45" spans="2:13" x14ac:dyDescent="0.25">
      <c r="B45" s="2"/>
      <c r="C45" s="2"/>
      <c r="D45" s="2"/>
      <c r="E45" s="2"/>
    </row>
    <row r="46" spans="2:13" x14ac:dyDescent="0.25">
      <c r="B46" s="2"/>
      <c r="C46" s="2"/>
      <c r="D46" s="2"/>
      <c r="E46" s="2"/>
    </row>
    <row r="47" spans="2:13" x14ac:dyDescent="0.25">
      <c r="B47" s="2"/>
      <c r="C47" s="2"/>
      <c r="D47" s="2"/>
      <c r="E47" s="2"/>
    </row>
    <row r="48" spans="2:13" x14ac:dyDescent="0.25">
      <c r="B48" s="2"/>
      <c r="C48" s="2"/>
      <c r="D48" s="2"/>
      <c r="E48" s="2"/>
    </row>
    <row r="49" spans="2:11" x14ac:dyDescent="0.25">
      <c r="B49" s="2"/>
      <c r="C49" s="2"/>
      <c r="D49" s="2"/>
      <c r="E49" s="2"/>
    </row>
    <row r="50" spans="2:11" x14ac:dyDescent="0.25">
      <c r="B50" s="2"/>
      <c r="C50" s="2"/>
      <c r="D50" s="2"/>
      <c r="E50" s="2"/>
    </row>
    <row r="51" spans="2:11" x14ac:dyDescent="0.25">
      <c r="B51" s="2"/>
      <c r="C51" s="2"/>
      <c r="D51" s="2"/>
      <c r="E51" s="2"/>
    </row>
    <row r="52" spans="2:1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V39"/>
  <sheetViews>
    <sheetView zoomScaleNormal="100" workbookViewId="0">
      <selection activeCell="Q14" sqref="Q14"/>
    </sheetView>
  </sheetViews>
  <sheetFormatPr baseColWidth="10" defaultColWidth="9.140625" defaultRowHeight="15" x14ac:dyDescent="0.25"/>
  <cols>
    <col min="2" max="2" width="10.7109375" customWidth="1"/>
    <col min="5" max="5" width="19.5703125" customWidth="1"/>
    <col min="9" max="9" width="17.42578125" customWidth="1"/>
  </cols>
  <sheetData>
    <row r="2" spans="2:21" x14ac:dyDescent="0.25">
      <c r="C2" s="12" t="s">
        <v>11</v>
      </c>
      <c r="D2" s="12"/>
      <c r="E2" s="12" t="s">
        <v>11</v>
      </c>
      <c r="G2" s="12" t="s">
        <v>1</v>
      </c>
      <c r="H2" s="12"/>
      <c r="I2" s="12" t="s">
        <v>1</v>
      </c>
      <c r="L2" s="16" t="s">
        <v>30</v>
      </c>
      <c r="M2" s="16" t="s">
        <v>1</v>
      </c>
      <c r="N2" s="2"/>
      <c r="O2" s="2"/>
      <c r="P2" s="2"/>
    </row>
    <row r="3" spans="2:21" x14ac:dyDescent="0.25">
      <c r="C3" s="12"/>
      <c r="D3" s="12"/>
      <c r="E3" s="12"/>
      <c r="G3" s="12"/>
      <c r="H3" s="12"/>
      <c r="I3" s="12"/>
      <c r="L3" s="13"/>
      <c r="M3" s="13"/>
      <c r="N3" s="2"/>
      <c r="O3" s="2"/>
      <c r="P3" s="2"/>
    </row>
    <row r="4" spans="2:21" x14ac:dyDescent="0.25">
      <c r="C4" s="12"/>
      <c r="D4" s="12"/>
      <c r="E4" s="12"/>
      <c r="G4" s="12"/>
      <c r="H4" s="12"/>
      <c r="I4" s="12"/>
      <c r="N4" s="2"/>
      <c r="O4" s="2"/>
      <c r="P4" s="2"/>
      <c r="R4" s="2"/>
      <c r="S4" s="2"/>
      <c r="T4" s="2"/>
    </row>
    <row r="5" spans="2:21" x14ac:dyDescent="0.25">
      <c r="C5" s="18" t="s">
        <v>12</v>
      </c>
      <c r="D5" s="1"/>
      <c r="E5" s="1" t="s">
        <v>13</v>
      </c>
      <c r="G5" s="1" t="s">
        <v>12</v>
      </c>
      <c r="H5" s="1"/>
      <c r="I5" s="1" t="s">
        <v>13</v>
      </c>
      <c r="O5" s="6" t="s">
        <v>2</v>
      </c>
      <c r="R5" s="2"/>
      <c r="S5" s="2"/>
      <c r="T5" s="2"/>
    </row>
    <row r="6" spans="2:21" x14ac:dyDescent="0.25">
      <c r="B6" s="12" t="s">
        <v>14</v>
      </c>
      <c r="C6" s="2">
        <v>33463.158000000003</v>
      </c>
      <c r="E6" s="5">
        <f>C6/33463.158</f>
        <v>1</v>
      </c>
      <c r="G6">
        <v>52614.815000000002</v>
      </c>
      <c r="I6" s="5">
        <f>G6/52614.815</f>
        <v>1</v>
      </c>
      <c r="J6" s="2"/>
      <c r="K6" s="2"/>
      <c r="L6" s="22">
        <v>1</v>
      </c>
      <c r="M6" s="22">
        <v>1</v>
      </c>
      <c r="N6" s="2"/>
      <c r="O6" s="25">
        <f>E6/I6</f>
        <v>1</v>
      </c>
      <c r="P6" s="2"/>
      <c r="R6" s="25">
        <v>1</v>
      </c>
      <c r="S6" s="25">
        <v>1</v>
      </c>
      <c r="T6" s="25">
        <v>1</v>
      </c>
      <c r="U6" s="25">
        <v>1</v>
      </c>
    </row>
    <row r="7" spans="2:21" x14ac:dyDescent="0.25">
      <c r="B7" s="12" t="s">
        <v>18</v>
      </c>
      <c r="C7" s="2">
        <v>103969.48059938474</v>
      </c>
      <c r="E7" s="5">
        <f>C7/33463.158</f>
        <v>3.10698352496751</v>
      </c>
      <c r="G7">
        <v>52528.622000000003</v>
      </c>
      <c r="I7" s="5">
        <f t="shared" ref="I7" si="0">G7/52614.815</f>
        <v>0.99836181121229828</v>
      </c>
      <c r="J7" s="2"/>
      <c r="K7" s="2"/>
      <c r="L7" s="22">
        <v>3.106983525</v>
      </c>
      <c r="M7" s="22">
        <v>0.99836181099999999</v>
      </c>
      <c r="N7" s="2"/>
      <c r="O7" s="25">
        <f t="shared" ref="O7:O9" si="1">E7/I7</f>
        <v>3.11208170231866</v>
      </c>
      <c r="P7" s="2"/>
      <c r="R7" s="25">
        <v>3.11208170231866</v>
      </c>
      <c r="S7" s="25">
        <v>3.5225201216700199</v>
      </c>
      <c r="T7" s="25">
        <v>2.0898053752488188</v>
      </c>
      <c r="U7" s="25">
        <v>1.8382376887624998</v>
      </c>
    </row>
    <row r="8" spans="2:21" x14ac:dyDescent="0.25">
      <c r="B8" s="12" t="s">
        <v>22</v>
      </c>
      <c r="C8" s="2">
        <v>54999.079644738616</v>
      </c>
      <c r="E8" s="5">
        <f>C8/33463.158</f>
        <v>1.6435711072080708</v>
      </c>
      <c r="G8">
        <v>50290.764999999999</v>
      </c>
      <c r="I8" s="5">
        <f>G8/52614.815</f>
        <v>0.95582898086784107</v>
      </c>
      <c r="J8" s="2"/>
      <c r="K8" s="2"/>
      <c r="L8" s="22">
        <v>1.6435711070000001</v>
      </c>
      <c r="M8" s="22">
        <v>0.95582898100000002</v>
      </c>
      <c r="N8" s="2"/>
      <c r="O8" s="25">
        <f>E8/I8</f>
        <v>1.7195242455567701</v>
      </c>
      <c r="P8" s="2"/>
      <c r="R8" s="25">
        <v>1.7195242455567701</v>
      </c>
      <c r="S8" s="25">
        <v>1.32165193645009</v>
      </c>
      <c r="T8" s="25">
        <v>1.2476545150454099</v>
      </c>
      <c r="U8" s="25">
        <v>0.98909832094773009</v>
      </c>
    </row>
    <row r="9" spans="2:21" x14ac:dyDescent="0.25">
      <c r="B9" s="12" t="s">
        <v>26</v>
      </c>
      <c r="C9" s="2">
        <v>22242.735423902563</v>
      </c>
      <c r="E9" s="5">
        <f>C9/33463.158</f>
        <v>0.66469325530789891</v>
      </c>
      <c r="G9">
        <v>39021.43</v>
      </c>
      <c r="I9" s="5">
        <f>G9/52614.815</f>
        <v>0.74164339454581374</v>
      </c>
      <c r="J9" s="2"/>
      <c r="K9" s="2"/>
      <c r="L9" s="22">
        <v>0.66469325499999998</v>
      </c>
      <c r="M9" s="22">
        <v>0.74164339499999998</v>
      </c>
      <c r="N9" s="2"/>
      <c r="O9" s="25">
        <f t="shared" si="1"/>
        <v>0.89624374759645842</v>
      </c>
      <c r="P9" s="2"/>
      <c r="R9" s="25">
        <v>0.89624374759645842</v>
      </c>
      <c r="S9" s="25">
        <v>0.59628517015441296</v>
      </c>
      <c r="T9" s="25">
        <v>1.36227064345093</v>
      </c>
      <c r="U9" s="25">
        <v>0.68129088999820064</v>
      </c>
    </row>
    <row r="10" spans="2:21" x14ac:dyDescent="0.25">
      <c r="B10" s="2"/>
      <c r="C10" s="2"/>
      <c r="E10" s="2"/>
      <c r="F10" s="2"/>
      <c r="G10" s="2"/>
      <c r="H10" s="2"/>
      <c r="I10" s="2"/>
      <c r="J10" s="2"/>
      <c r="K10" s="2"/>
      <c r="L10" s="27"/>
      <c r="M10" s="27"/>
      <c r="N10" s="2"/>
      <c r="O10" s="26"/>
      <c r="P10" s="2"/>
      <c r="R10" s="2"/>
      <c r="T10" s="2"/>
    </row>
    <row r="11" spans="2:21" x14ac:dyDescent="0.25">
      <c r="B11" s="2"/>
      <c r="C11" s="2"/>
      <c r="E11" s="2"/>
      <c r="F11" s="2"/>
      <c r="G11" s="2"/>
      <c r="H11" s="2"/>
      <c r="I11" s="2"/>
      <c r="J11" s="2"/>
      <c r="K11" s="2"/>
      <c r="L11" s="27"/>
      <c r="M11" s="27"/>
      <c r="N11" s="2"/>
      <c r="O11" s="26"/>
      <c r="P11" s="2"/>
      <c r="R11" s="2"/>
      <c r="S11" s="2"/>
      <c r="T11" s="2"/>
    </row>
    <row r="12" spans="2:21" x14ac:dyDescent="0.25">
      <c r="B12" s="2"/>
      <c r="C12" s="2"/>
      <c r="E12" s="2"/>
      <c r="I12" s="2"/>
      <c r="J12" s="2"/>
      <c r="K12" s="2"/>
      <c r="P12" s="2"/>
      <c r="R12" s="2"/>
      <c r="S12" s="2"/>
      <c r="T12" s="2"/>
    </row>
    <row r="13" spans="2:21" x14ac:dyDescent="0.25">
      <c r="B13" s="12" t="s">
        <v>15</v>
      </c>
      <c r="C13" s="2">
        <v>34661.016000000003</v>
      </c>
      <c r="E13" s="5">
        <f>C13/34661.016</f>
        <v>1</v>
      </c>
      <c r="G13">
        <v>31882.136999999999</v>
      </c>
      <c r="I13" s="5">
        <f>G13/31882.137</f>
        <v>1</v>
      </c>
      <c r="J13" s="2"/>
      <c r="K13" s="2"/>
      <c r="L13" s="22">
        <v>1</v>
      </c>
      <c r="M13" s="22">
        <v>1</v>
      </c>
      <c r="O13" s="25">
        <f>E13/I13</f>
        <v>1</v>
      </c>
      <c r="P13" s="2"/>
      <c r="R13" s="2"/>
      <c r="S13" s="2"/>
      <c r="T13" s="2"/>
    </row>
    <row r="14" spans="2:21" x14ac:dyDescent="0.25">
      <c r="B14" s="23" t="s">
        <v>19</v>
      </c>
      <c r="C14" s="2">
        <v>131680.49219803224</v>
      </c>
      <c r="E14" s="5">
        <f t="shared" ref="E14:E16" si="2">C14/34661.016</f>
        <v>3.7990949889648999</v>
      </c>
      <c r="G14">
        <v>34385.400999999998</v>
      </c>
      <c r="I14" s="5">
        <f>G14/31882.137</f>
        <v>1.078516192311701</v>
      </c>
      <c r="J14" s="2"/>
      <c r="K14" s="2"/>
      <c r="L14" s="22">
        <v>3.7990949889999999</v>
      </c>
      <c r="M14" s="22">
        <v>1.0785161919999999</v>
      </c>
      <c r="O14" s="25">
        <f>E14/I14</f>
        <v>3.5225201216700199</v>
      </c>
      <c r="P14" s="2"/>
      <c r="R14" s="2"/>
      <c r="S14" s="2"/>
      <c r="T14" s="2"/>
    </row>
    <row r="15" spans="2:21" x14ac:dyDescent="0.25">
      <c r="B15" s="23" t="s">
        <v>23</v>
      </c>
      <c r="C15" s="2">
        <v>43725.628696076143</v>
      </c>
      <c r="E15" s="5">
        <f t="shared" si="2"/>
        <v>1.2615218404468045</v>
      </c>
      <c r="G15">
        <v>30431.621999999999</v>
      </c>
      <c r="I15" s="5">
        <f>G15/31882.137</f>
        <v>0.95450383391803384</v>
      </c>
      <c r="J15" s="2"/>
      <c r="K15" s="2"/>
      <c r="L15" s="22">
        <v>1.2615218399999999</v>
      </c>
      <c r="M15" s="22">
        <v>0.95450383400000005</v>
      </c>
      <c r="O15" s="25">
        <f>E15/I15</f>
        <v>1.32165193645009</v>
      </c>
      <c r="P15" s="2"/>
      <c r="R15" s="2"/>
      <c r="S15" s="2"/>
      <c r="T15" s="2"/>
    </row>
    <row r="16" spans="2:21" x14ac:dyDescent="0.25">
      <c r="B16" s="23" t="s">
        <v>27</v>
      </c>
      <c r="C16" s="2">
        <v>25369.946965736672</v>
      </c>
      <c r="E16" s="5">
        <f t="shared" si="2"/>
        <v>0.73194470022854119</v>
      </c>
      <c r="G16">
        <v>39135.572</v>
      </c>
      <c r="I16" s="5">
        <f>G16/31882.137</f>
        <v>1.2275078047622718</v>
      </c>
      <c r="J16" s="2"/>
      <c r="K16" s="2"/>
      <c r="L16" s="22">
        <v>0.7319447</v>
      </c>
      <c r="M16" s="22">
        <v>1.2275078049999999</v>
      </c>
      <c r="O16" s="25">
        <f>E16/I16</f>
        <v>0.59628517015441296</v>
      </c>
      <c r="P16" s="2"/>
      <c r="R16" s="2"/>
      <c r="S16" s="2"/>
      <c r="T16" s="2"/>
    </row>
    <row r="17" spans="2:20" x14ac:dyDescent="0.25">
      <c r="B17" s="2"/>
      <c r="C17" s="2"/>
      <c r="E17" s="2"/>
      <c r="F17" s="2"/>
      <c r="I17" s="2"/>
      <c r="J17" s="2"/>
      <c r="K17" s="2"/>
      <c r="M17" s="10"/>
      <c r="N17" s="2"/>
      <c r="P17" s="2"/>
      <c r="R17" s="2"/>
      <c r="S17" s="2"/>
      <c r="T17" s="2"/>
    </row>
    <row r="18" spans="2:20" x14ac:dyDescent="0.25">
      <c r="B18" s="2"/>
      <c r="C18" s="2"/>
      <c r="E18" s="2"/>
      <c r="F18" s="2"/>
      <c r="J18" s="2"/>
      <c r="K18" s="2"/>
      <c r="L18" s="2"/>
      <c r="M18" s="2"/>
      <c r="N18" s="2"/>
      <c r="P18" s="2"/>
      <c r="R18" s="2"/>
      <c r="S18" s="2"/>
      <c r="T18" s="2"/>
    </row>
    <row r="19" spans="2:20" x14ac:dyDescent="0.25">
      <c r="B19" s="2"/>
      <c r="C19" s="2"/>
      <c r="E19" s="2"/>
      <c r="F19" s="2"/>
      <c r="J19" s="2"/>
      <c r="K19" s="2"/>
      <c r="L19" s="2"/>
      <c r="M19" s="2"/>
      <c r="N19" s="2"/>
      <c r="P19" s="2"/>
      <c r="R19" s="2"/>
      <c r="S19" s="2"/>
      <c r="T19" s="2"/>
    </row>
    <row r="20" spans="2:20" x14ac:dyDescent="0.25">
      <c r="B20" s="2"/>
      <c r="C20" s="2"/>
      <c r="E20" s="2"/>
      <c r="F20" s="2"/>
      <c r="J20" s="2"/>
      <c r="K20" s="2"/>
      <c r="L20" s="2"/>
      <c r="M20" s="2"/>
      <c r="N20" s="2"/>
      <c r="P20" s="2"/>
      <c r="R20" s="2"/>
      <c r="S20" s="2"/>
      <c r="T20" s="2"/>
    </row>
    <row r="21" spans="2:20" x14ac:dyDescent="0.25">
      <c r="B21" s="2"/>
      <c r="C21" s="2"/>
      <c r="E21" s="2"/>
      <c r="F21" s="2"/>
      <c r="J21" s="2"/>
      <c r="K21" s="2"/>
      <c r="L21" s="2"/>
      <c r="M21" s="2"/>
      <c r="N21" s="2"/>
      <c r="P21" s="2"/>
      <c r="R21" s="2"/>
      <c r="S21" s="2"/>
      <c r="T21" s="2"/>
    </row>
    <row r="22" spans="2:20" x14ac:dyDescent="0.25">
      <c r="B22" s="12" t="s">
        <v>16</v>
      </c>
      <c r="C22">
        <v>26225.681</v>
      </c>
      <c r="E22" s="5">
        <f>C22/26225.681</f>
        <v>1</v>
      </c>
      <c r="F22" s="2"/>
      <c r="G22">
        <v>65688.936000000002</v>
      </c>
      <c r="I22" s="5">
        <f>G22/65688.936</f>
        <v>1</v>
      </c>
      <c r="J22" s="2"/>
      <c r="K22" s="2"/>
      <c r="L22" s="22">
        <v>1</v>
      </c>
      <c r="M22" s="22">
        <v>1</v>
      </c>
      <c r="N22" s="2"/>
      <c r="O22" s="25">
        <f>E22/I22</f>
        <v>1</v>
      </c>
      <c r="P22" s="2"/>
      <c r="R22" s="2"/>
      <c r="S22" s="2"/>
      <c r="T22" s="2"/>
    </row>
    <row r="23" spans="2:20" x14ac:dyDescent="0.25">
      <c r="B23" s="23" t="s">
        <v>20</v>
      </c>
      <c r="C23">
        <v>45621.621126116253</v>
      </c>
      <c r="E23" s="5">
        <f>C23/26225.681</f>
        <v>1.7395781305399183</v>
      </c>
      <c r="F23" s="2"/>
      <c r="G23">
        <v>54680.228999999999</v>
      </c>
      <c r="I23" s="5">
        <f>G23/65688.936</f>
        <v>0.83241154948833385</v>
      </c>
      <c r="J23" s="2"/>
      <c r="K23" s="2"/>
      <c r="L23" s="22">
        <v>1.739578131</v>
      </c>
      <c r="M23" s="22">
        <v>0.83241154900000003</v>
      </c>
      <c r="N23" s="2"/>
      <c r="O23" s="25">
        <f t="shared" ref="O23:O24" si="3">E23/I23</f>
        <v>2.0898053752488188</v>
      </c>
      <c r="P23" s="2"/>
      <c r="R23" s="2"/>
      <c r="S23" s="2"/>
      <c r="T23" s="2"/>
    </row>
    <row r="24" spans="2:20" x14ac:dyDescent="0.25">
      <c r="B24" s="23" t="s">
        <v>24</v>
      </c>
      <c r="C24">
        <v>29727.129415298386</v>
      </c>
      <c r="E24" s="5">
        <f>C24/26225.681</f>
        <v>1.1335122018489581</v>
      </c>
      <c r="F24" s="2"/>
      <c r="G24">
        <v>59679.35</v>
      </c>
      <c r="I24" s="5">
        <f>G24/65688.936</f>
        <v>0.90851448712763438</v>
      </c>
      <c r="J24" s="2"/>
      <c r="K24" s="2"/>
      <c r="L24" s="22">
        <v>1.1335122019999999</v>
      </c>
      <c r="M24" s="22">
        <v>0.90851448700000004</v>
      </c>
      <c r="N24" s="2"/>
      <c r="O24" s="25">
        <f t="shared" si="3"/>
        <v>1.2476545150454099</v>
      </c>
      <c r="P24" s="2"/>
      <c r="R24" s="2"/>
      <c r="S24" s="2"/>
      <c r="T24" s="2"/>
    </row>
    <row r="25" spans="2:20" x14ac:dyDescent="0.25">
      <c r="B25" s="23" t="s">
        <v>28</v>
      </c>
      <c r="C25">
        <v>34195.735044260553</v>
      </c>
      <c r="E25" s="5">
        <f>C25/26225.681</f>
        <v>1.303902653443415</v>
      </c>
      <c r="F25" s="2"/>
      <c r="G25">
        <v>62874.421000000002</v>
      </c>
      <c r="I25" s="5">
        <f>G25/65688.936</f>
        <v>0.95715389574889753</v>
      </c>
      <c r="J25" s="2"/>
      <c r="K25" s="2"/>
      <c r="L25" s="22">
        <v>1.303902653</v>
      </c>
      <c r="M25" s="22">
        <v>0.957153896</v>
      </c>
      <c r="N25" s="2"/>
      <c r="O25" s="25">
        <f>E25/I25</f>
        <v>1.36227064345093</v>
      </c>
      <c r="P25" s="2"/>
      <c r="R25" s="2"/>
      <c r="S25" s="2"/>
      <c r="T25" s="2"/>
    </row>
    <row r="26" spans="2:20" x14ac:dyDescent="0.25">
      <c r="B26" s="2"/>
      <c r="C26" s="2"/>
      <c r="D26" s="2"/>
      <c r="E26" s="2"/>
      <c r="F26" s="2"/>
      <c r="G26" s="2"/>
      <c r="I26" s="2"/>
      <c r="J26" s="2"/>
      <c r="K26" s="2"/>
      <c r="L26" s="2"/>
      <c r="M26" s="2"/>
      <c r="N26" s="2"/>
      <c r="P26" s="2"/>
      <c r="R26" s="2"/>
      <c r="S26" s="2"/>
      <c r="T26" s="2"/>
    </row>
    <row r="27" spans="2:20" x14ac:dyDescent="0.25">
      <c r="B27" s="2"/>
      <c r="C27" s="2"/>
      <c r="D27" s="2"/>
      <c r="E27" s="2"/>
      <c r="F27" s="2"/>
      <c r="G27" s="2"/>
      <c r="I27" s="2"/>
      <c r="J27" s="2"/>
      <c r="K27" s="2"/>
      <c r="L27" s="2"/>
      <c r="M27" s="2"/>
      <c r="N27" s="2"/>
      <c r="O27" s="2"/>
      <c r="P27" s="2"/>
      <c r="R27" s="2"/>
      <c r="S27" s="2"/>
      <c r="T27" s="2"/>
    </row>
    <row r="28" spans="2:20" x14ac:dyDescent="0.25">
      <c r="B28" s="2"/>
      <c r="C28" s="2"/>
      <c r="E28" s="2"/>
      <c r="F28" s="2"/>
      <c r="N28" s="2"/>
      <c r="R28" s="2"/>
      <c r="S28" s="2"/>
      <c r="T28" s="2"/>
    </row>
    <row r="29" spans="2:20" x14ac:dyDescent="0.25">
      <c r="B29" s="12" t="s">
        <v>17</v>
      </c>
      <c r="C29" s="19">
        <v>38844.19</v>
      </c>
      <c r="D29" s="2"/>
      <c r="E29" s="5">
        <f>C29/38844.19</f>
        <v>1</v>
      </c>
      <c r="F29" s="2"/>
      <c r="G29" s="2">
        <v>23849.187000000002</v>
      </c>
      <c r="I29" s="5">
        <f>G29/23849.187</f>
        <v>1</v>
      </c>
      <c r="J29" s="2"/>
      <c r="L29" s="22">
        <v>1</v>
      </c>
      <c r="M29" s="22">
        <v>1</v>
      </c>
      <c r="N29" s="2"/>
      <c r="O29" s="25">
        <f>E29/I29</f>
        <v>1</v>
      </c>
      <c r="P29" s="2"/>
      <c r="Q29" s="2"/>
      <c r="R29" s="2"/>
      <c r="S29" s="2"/>
      <c r="T29" s="2"/>
    </row>
    <row r="30" spans="2:20" x14ac:dyDescent="0.25">
      <c r="B30" s="23" t="s">
        <v>21</v>
      </c>
      <c r="C30" s="19">
        <v>66829.422326593049</v>
      </c>
      <c r="D30" s="2"/>
      <c r="E30" s="5">
        <f t="shared" ref="E30:E31" si="4">C30/38844.19</f>
        <v>1.7204483431522974</v>
      </c>
      <c r="F30" s="2"/>
      <c r="G30" s="2">
        <v>22320.994999999999</v>
      </c>
      <c r="I30" s="5">
        <f>G30/23849.187</f>
        <v>0.93592267946072949</v>
      </c>
      <c r="J30" s="2"/>
      <c r="L30" s="22">
        <v>1.7204483429999999</v>
      </c>
      <c r="M30" s="22">
        <v>0.93592267900000004</v>
      </c>
      <c r="N30" s="2"/>
      <c r="O30" s="25">
        <f>E30/I30</f>
        <v>1.8382376887624998</v>
      </c>
      <c r="P30" s="2"/>
      <c r="Q30" s="2"/>
      <c r="R30" s="2"/>
      <c r="S30" s="2"/>
      <c r="T30" s="2"/>
    </row>
    <row r="31" spans="2:20" x14ac:dyDescent="0.25">
      <c r="B31" s="23" t="s">
        <v>25</v>
      </c>
      <c r="C31" s="19">
        <v>40146.790644500041</v>
      </c>
      <c r="D31" s="2"/>
      <c r="E31" s="5">
        <f t="shared" si="4"/>
        <v>1.0335339891113713</v>
      </c>
      <c r="F31" s="2"/>
      <c r="G31" s="2">
        <v>24920.621999999999</v>
      </c>
      <c r="I31" s="5">
        <f>G31/23849.187</f>
        <v>1.0449254307914142</v>
      </c>
      <c r="J31" s="2"/>
      <c r="L31" s="22">
        <v>1.0335339889999999</v>
      </c>
      <c r="M31" s="22">
        <v>1.044925431</v>
      </c>
      <c r="N31" s="2"/>
      <c r="O31" s="25">
        <f>E31/I31</f>
        <v>0.98909832094773009</v>
      </c>
      <c r="P31" s="2"/>
      <c r="Q31" s="2"/>
      <c r="R31" s="2"/>
      <c r="S31" s="2"/>
      <c r="T31" s="2"/>
    </row>
    <row r="32" spans="2:20" x14ac:dyDescent="0.25">
      <c r="B32" s="23" t="s">
        <v>29</v>
      </c>
      <c r="C32" s="19">
        <v>31418.960106063209</v>
      </c>
      <c r="D32" s="2"/>
      <c r="E32" s="5">
        <f>C32/38844.19</f>
        <v>0.80884580438060893</v>
      </c>
      <c r="F32" s="2"/>
      <c r="G32" s="2">
        <v>28314.359</v>
      </c>
      <c r="I32" s="5">
        <f>G32/23849.187</f>
        <v>1.1872253339285737</v>
      </c>
      <c r="J32" s="2"/>
      <c r="L32" s="22">
        <v>0.80884580399999995</v>
      </c>
      <c r="M32" s="22">
        <v>1.1872253340000001</v>
      </c>
      <c r="N32" s="2"/>
      <c r="O32" s="25">
        <f>E32/I32</f>
        <v>0.68129088999820064</v>
      </c>
      <c r="P32" s="2"/>
      <c r="Q32" s="2"/>
      <c r="R32" s="2"/>
      <c r="S32" s="2"/>
      <c r="T32" s="2"/>
    </row>
    <row r="33" spans="1:22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2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M35" t="s">
        <v>10</v>
      </c>
      <c r="O35" t="s">
        <v>5</v>
      </c>
    </row>
    <row r="36" spans="1:22" x14ac:dyDescent="0.25">
      <c r="L36" s="9" t="s">
        <v>9</v>
      </c>
      <c r="M36" s="9">
        <v>1</v>
      </c>
      <c r="N36" s="9"/>
      <c r="O36" s="9">
        <v>0</v>
      </c>
      <c r="P36" s="9"/>
    </row>
    <row r="37" spans="1:22" x14ac:dyDescent="0.25">
      <c r="L37" s="9" t="s">
        <v>6</v>
      </c>
      <c r="M37">
        <v>2.6406612219999999</v>
      </c>
      <c r="O37">
        <v>0.40279999999999999</v>
      </c>
    </row>
    <row r="38" spans="1:22" x14ac:dyDescent="0.25">
      <c r="L38" s="9" t="s">
        <v>7</v>
      </c>
      <c r="M38">
        <v>1.3194822545</v>
      </c>
      <c r="O38">
        <v>0.1512</v>
      </c>
    </row>
    <row r="39" spans="1:22" x14ac:dyDescent="0.25">
      <c r="L39" s="9" t="s">
        <v>8</v>
      </c>
      <c r="M39">
        <v>0.88402261280000005</v>
      </c>
      <c r="O39">
        <v>0.1714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Z99"/>
  <sheetViews>
    <sheetView tabSelected="1" topLeftCell="A22" zoomScaleNormal="100" workbookViewId="0">
      <selection activeCell="I46" sqref="I46"/>
    </sheetView>
  </sheetViews>
  <sheetFormatPr baseColWidth="10" defaultColWidth="9.140625" defaultRowHeight="15" x14ac:dyDescent="0.25"/>
  <cols>
    <col min="3" max="3" width="10.42578125" customWidth="1"/>
    <col min="4" max="4" width="8.85546875" customWidth="1"/>
    <col min="5" max="5" width="18.42578125" customWidth="1"/>
    <col min="9" max="9" width="17" customWidth="1"/>
    <col min="12" max="12" width="10.28515625" customWidth="1"/>
    <col min="13" max="13" width="11.5703125" customWidth="1"/>
    <col min="15" max="15" width="11.28515625" customWidth="1"/>
  </cols>
  <sheetData>
    <row r="2" spans="2:26" x14ac:dyDescent="0.25">
      <c r="C2" s="12" t="s">
        <v>11</v>
      </c>
      <c r="D2" s="12"/>
      <c r="E2" s="12" t="s">
        <v>11</v>
      </c>
      <c r="G2" s="12" t="s">
        <v>1</v>
      </c>
      <c r="H2" s="12"/>
      <c r="I2" s="12" t="s">
        <v>1</v>
      </c>
      <c r="L2" s="16" t="s">
        <v>3</v>
      </c>
      <c r="M2" s="16" t="s">
        <v>4</v>
      </c>
      <c r="N2" s="2"/>
      <c r="O2" s="2"/>
    </row>
    <row r="3" spans="2:26" x14ac:dyDescent="0.25">
      <c r="C3" s="12"/>
      <c r="D3" s="12"/>
      <c r="E3" s="12"/>
      <c r="G3" s="12"/>
      <c r="H3" s="12"/>
      <c r="I3" s="12"/>
      <c r="L3" s="13"/>
      <c r="M3" s="13"/>
      <c r="N3" s="2"/>
      <c r="O3" s="2"/>
    </row>
    <row r="4" spans="2:26" x14ac:dyDescent="0.25">
      <c r="C4" s="12"/>
      <c r="D4" s="12"/>
      <c r="E4" s="12"/>
      <c r="G4" s="12"/>
      <c r="H4" s="12"/>
      <c r="I4" s="12"/>
      <c r="N4" s="2"/>
      <c r="O4" s="2"/>
    </row>
    <row r="5" spans="2:26" s="2" customFormat="1" x14ac:dyDescent="0.25">
      <c r="B5"/>
      <c r="C5" s="18" t="s">
        <v>12</v>
      </c>
      <c r="D5" s="1"/>
      <c r="E5" s="1" t="s">
        <v>13</v>
      </c>
      <c r="F5"/>
      <c r="G5" s="1" t="s">
        <v>12</v>
      </c>
      <c r="I5" s="1" t="s">
        <v>13</v>
      </c>
      <c r="J5"/>
      <c r="K5"/>
      <c r="L5"/>
      <c r="M5"/>
      <c r="N5"/>
      <c r="O5" s="6" t="s">
        <v>2</v>
      </c>
    </row>
    <row r="6" spans="2:26" x14ac:dyDescent="0.25">
      <c r="B6" s="12" t="s">
        <v>14</v>
      </c>
      <c r="C6">
        <v>70782.207999999999</v>
      </c>
      <c r="E6" s="5">
        <f>C6/70782.208</f>
        <v>1</v>
      </c>
      <c r="G6">
        <v>71033.207999999999</v>
      </c>
      <c r="I6" s="15">
        <f>G6/71033.208</f>
        <v>1</v>
      </c>
      <c r="L6" s="5">
        <v>1</v>
      </c>
      <c r="M6" s="5">
        <v>1</v>
      </c>
      <c r="O6" s="8">
        <f>E6/I6</f>
        <v>1</v>
      </c>
      <c r="S6" s="8">
        <v>1</v>
      </c>
      <c r="T6" s="8">
        <v>1</v>
      </c>
      <c r="U6" s="8">
        <v>1</v>
      </c>
      <c r="V6" s="8">
        <v>1</v>
      </c>
      <c r="W6" s="2"/>
    </row>
    <row r="7" spans="2:26" x14ac:dyDescent="0.25">
      <c r="B7" s="12" t="s">
        <v>18</v>
      </c>
      <c r="C7">
        <v>47210.508451419599</v>
      </c>
      <c r="E7" s="5">
        <f t="shared" ref="E7:E9" si="0">C7/70782.208</f>
        <v>0.66698270349830846</v>
      </c>
      <c r="G7">
        <v>55329.773000000001</v>
      </c>
      <c r="I7" s="15">
        <f>G7/71033.208</f>
        <v>0.77892825845624203</v>
      </c>
      <c r="L7" s="5">
        <v>0.66698270349830846</v>
      </c>
      <c r="M7" s="5">
        <v>0.77892825845624203</v>
      </c>
      <c r="O7" s="8">
        <f>E7/I7</f>
        <v>0.85628258604996754</v>
      </c>
      <c r="S7" s="8">
        <v>0.85628258604996754</v>
      </c>
      <c r="T7" s="8">
        <v>0.75904196033997484</v>
      </c>
      <c r="U7" s="8">
        <v>1.0814588533867628</v>
      </c>
      <c r="V7" s="8">
        <v>1.3806150476719177</v>
      </c>
      <c r="W7" s="2"/>
    </row>
    <row r="8" spans="2:26" x14ac:dyDescent="0.25">
      <c r="B8" s="12" t="s">
        <v>22</v>
      </c>
      <c r="C8">
        <v>39463.752633216274</v>
      </c>
      <c r="E8" s="5">
        <f t="shared" si="0"/>
        <v>0.55753774498269781</v>
      </c>
      <c r="G8">
        <v>58529.521999999997</v>
      </c>
      <c r="I8" s="15">
        <f>G8/71033.208</f>
        <v>0.82397407702605796</v>
      </c>
      <c r="L8" s="5">
        <v>0.55753774498269781</v>
      </c>
      <c r="M8" s="5">
        <v>0.82397407702605796</v>
      </c>
      <c r="O8" s="8">
        <f>E8/I8</f>
        <v>0.67664476411078378</v>
      </c>
      <c r="S8" s="8">
        <v>0.67664476411078378</v>
      </c>
      <c r="T8" s="8">
        <v>0.69899947151751196</v>
      </c>
      <c r="U8" s="8">
        <v>0.93751232074837898</v>
      </c>
      <c r="V8" s="8">
        <v>0.81438876216535727</v>
      </c>
      <c r="W8" s="2"/>
    </row>
    <row r="9" spans="2:26" x14ac:dyDescent="0.25">
      <c r="B9" s="12" t="s">
        <v>26</v>
      </c>
      <c r="C9">
        <v>42329.412776746183</v>
      </c>
      <c r="E9" s="5">
        <f t="shared" si="0"/>
        <v>0.5980233447471176</v>
      </c>
      <c r="G9">
        <v>62897.500999999997</v>
      </c>
      <c r="I9" s="15">
        <f>G9/71033.208</f>
        <v>0.88546614704491455</v>
      </c>
      <c r="L9" s="5">
        <v>0.5980233447471176</v>
      </c>
      <c r="M9" s="5">
        <v>0.88546614704491455</v>
      </c>
      <c r="O9" s="8">
        <f>E9/I9</f>
        <v>0.6753768585540102</v>
      </c>
      <c r="S9" s="8">
        <v>0.6753768585540102</v>
      </c>
      <c r="T9" s="8">
        <v>0.88576735135573403</v>
      </c>
      <c r="U9" s="8">
        <v>0.82432803983656089</v>
      </c>
      <c r="V9" s="8">
        <v>0.56103135925189962</v>
      </c>
      <c r="W9" s="2"/>
    </row>
    <row r="10" spans="2:26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2:26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2:26" x14ac:dyDescent="0.25">
      <c r="B12" s="2"/>
      <c r="C12" s="2"/>
      <c r="D12" s="2"/>
      <c r="E12" s="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2:26" x14ac:dyDescent="0.25">
      <c r="B13" s="12" t="s">
        <v>15</v>
      </c>
      <c r="C13">
        <v>58304.006999999998</v>
      </c>
      <c r="E13" s="5">
        <f>C13/58304.007</f>
        <v>1</v>
      </c>
      <c r="G13">
        <v>58316.3</v>
      </c>
      <c r="I13" s="5">
        <f>G13/58316.3</f>
        <v>1</v>
      </c>
      <c r="L13" s="5">
        <v>1</v>
      </c>
      <c r="M13" s="5">
        <v>1</v>
      </c>
      <c r="O13" s="8">
        <f>E13/I13</f>
        <v>1</v>
      </c>
      <c r="S13" s="2"/>
      <c r="T13" s="2"/>
      <c r="U13" s="2"/>
      <c r="V13" s="2"/>
    </row>
    <row r="14" spans="2:26" x14ac:dyDescent="0.25">
      <c r="B14" s="23" t="s">
        <v>19</v>
      </c>
      <c r="C14">
        <v>47317.927579246083</v>
      </c>
      <c r="E14" s="5">
        <f>C14/58304.007</f>
        <v>0.81157248041710217</v>
      </c>
      <c r="G14">
        <v>62352.158000000003</v>
      </c>
      <c r="I14" s="5">
        <f>G14/58316.3</f>
        <v>1.0692063453957128</v>
      </c>
      <c r="L14" s="5">
        <v>0.81157248041710217</v>
      </c>
      <c r="M14" s="5">
        <v>1.0692063453957128</v>
      </c>
      <c r="O14" s="8">
        <f>E14/I14</f>
        <v>0.75904196033997495</v>
      </c>
      <c r="S14" s="2"/>
      <c r="T14" s="2"/>
      <c r="U14" s="2"/>
      <c r="V14" s="2"/>
    </row>
    <row r="15" spans="2:26" x14ac:dyDescent="0.25">
      <c r="B15" s="23" t="s">
        <v>23</v>
      </c>
      <c r="C15">
        <v>42348.69224296946</v>
      </c>
      <c r="E15" s="5">
        <f>C15/58304.007</f>
        <v>0.72634274078228378</v>
      </c>
      <c r="G15">
        <v>60597.500999999997</v>
      </c>
      <c r="I15" s="5">
        <f>G15/58316.3</f>
        <v>1.0391177252329107</v>
      </c>
      <c r="L15" s="5">
        <v>0.72634274078228378</v>
      </c>
      <c r="M15" s="5">
        <v>1.0391177252329107</v>
      </c>
      <c r="O15" s="8">
        <f t="shared" ref="O15:O16" si="1">E15/I15</f>
        <v>0.69899947151751196</v>
      </c>
      <c r="S15" s="2"/>
      <c r="T15" s="2"/>
      <c r="U15" s="2"/>
      <c r="V15" s="2"/>
    </row>
    <row r="16" spans="2:26" x14ac:dyDescent="0.25">
      <c r="B16" s="23" t="s">
        <v>27</v>
      </c>
      <c r="C16">
        <v>47761.356080795202</v>
      </c>
      <c r="E16" s="5">
        <f>C16/58304.007</f>
        <v>0.81917793541694661</v>
      </c>
      <c r="G16">
        <v>53932.25</v>
      </c>
      <c r="I16" s="5">
        <f>G16/58316.3</f>
        <v>0.92482290543124301</v>
      </c>
      <c r="L16" s="5">
        <v>0.81917793541694661</v>
      </c>
      <c r="M16" s="5">
        <v>0.92482290543124301</v>
      </c>
      <c r="O16" s="8">
        <f t="shared" si="1"/>
        <v>0.88576735135573403</v>
      </c>
      <c r="S16" s="2"/>
      <c r="T16" s="2"/>
      <c r="U16" s="2"/>
      <c r="V16" s="2"/>
    </row>
    <row r="17" spans="2:15" s="2" customFormat="1" x14ac:dyDescent="0.25">
      <c r="B17" s="27"/>
    </row>
    <row r="19" spans="2:15" s="2" customFormat="1" x14ac:dyDescent="0.25"/>
    <row r="20" spans="2:15" x14ac:dyDescent="0.25">
      <c r="B20" s="12" t="s">
        <v>16</v>
      </c>
      <c r="C20">
        <v>57224.743999999999</v>
      </c>
      <c r="E20" s="5">
        <f>C20/57224.744</f>
        <v>1</v>
      </c>
      <c r="G20">
        <v>39560.057000000001</v>
      </c>
      <c r="I20" s="5">
        <f>G20/39560.057</f>
        <v>1</v>
      </c>
      <c r="L20" s="5">
        <v>1</v>
      </c>
      <c r="M20" s="5">
        <v>1</v>
      </c>
      <c r="O20" s="8">
        <f>E20/I20</f>
        <v>1</v>
      </c>
    </row>
    <row r="21" spans="2:15" x14ac:dyDescent="0.25">
      <c r="B21" s="23" t="s">
        <v>20</v>
      </c>
      <c r="C21">
        <v>75251.424990559928</v>
      </c>
      <c r="E21" s="5">
        <f>C21/57224.744</f>
        <v>1.3150154938318279</v>
      </c>
      <c r="G21">
        <v>48103.622000000003</v>
      </c>
      <c r="I21" s="5">
        <f>G21/39560.057</f>
        <v>1.215964425935989</v>
      </c>
      <c r="L21" s="5">
        <v>1.3150154938318279</v>
      </c>
      <c r="M21" s="5">
        <v>1.215964425935989</v>
      </c>
      <c r="O21" s="8">
        <f t="shared" ref="O21:O23" si="2">E21/I21</f>
        <v>1.0814588533867628</v>
      </c>
    </row>
    <row r="22" spans="2:15" x14ac:dyDescent="0.25">
      <c r="B22" s="23" t="s">
        <v>24</v>
      </c>
      <c r="C22">
        <v>67727.904363650014</v>
      </c>
      <c r="E22" s="5">
        <f>C22/57224.744</f>
        <v>1.183542286596337</v>
      </c>
      <c r="G22">
        <v>49941.743999999999</v>
      </c>
      <c r="I22" s="5">
        <f>G22/39560.057</f>
        <v>1.2624285147010783</v>
      </c>
      <c r="L22" s="5">
        <v>1.183542286596337</v>
      </c>
      <c r="M22" s="5">
        <v>1.2624285147010783</v>
      </c>
      <c r="O22" s="8">
        <f t="shared" si="2"/>
        <v>0.93751232074837898</v>
      </c>
    </row>
    <row r="23" spans="2:15" x14ac:dyDescent="0.25">
      <c r="B23" s="23" t="s">
        <v>28</v>
      </c>
      <c r="C23">
        <v>72185.73139887517</v>
      </c>
      <c r="E23" s="5">
        <f>C23/57224.744</f>
        <v>1.2614426269670191</v>
      </c>
      <c r="G23">
        <v>60537.48</v>
      </c>
      <c r="I23" s="5">
        <f>G23/39560.057</f>
        <v>1.5302677647810266</v>
      </c>
      <c r="L23" s="5">
        <v>1.2614426269670191</v>
      </c>
      <c r="M23" s="5">
        <v>1.5302677647810266</v>
      </c>
      <c r="O23" s="8">
        <f t="shared" si="2"/>
        <v>0.824328039836561</v>
      </c>
    </row>
    <row r="24" spans="2:15" s="2" customFormat="1" x14ac:dyDescent="0.25"/>
    <row r="25" spans="2:15" s="2" customFormat="1" x14ac:dyDescent="0.25"/>
    <row r="26" spans="2:15" s="2" customFormat="1" x14ac:dyDescent="0.25"/>
    <row r="27" spans="2:15" x14ac:dyDescent="0.25">
      <c r="B27" s="12" t="s">
        <v>17</v>
      </c>
      <c r="C27">
        <v>35069.673000000003</v>
      </c>
      <c r="E27" s="5">
        <f>C27/35069.673</f>
        <v>1</v>
      </c>
      <c r="G27">
        <v>35026.258000000002</v>
      </c>
      <c r="I27" s="5">
        <f>G27/35026.258</f>
        <v>1</v>
      </c>
      <c r="L27" s="5">
        <v>1</v>
      </c>
      <c r="M27" s="5">
        <v>1</v>
      </c>
      <c r="O27" s="8">
        <f>E27/I27</f>
        <v>1</v>
      </c>
    </row>
    <row r="28" spans="2:15" x14ac:dyDescent="0.25">
      <c r="B28" s="23" t="s">
        <v>21</v>
      </c>
      <c r="C28">
        <v>60316.881352788412</v>
      </c>
      <c r="E28" s="5">
        <f t="shared" ref="E28:E30" si="3">C28/35069.673</f>
        <v>1.7199157047397735</v>
      </c>
      <c r="G28">
        <v>43634.328999999998</v>
      </c>
      <c r="I28" s="5">
        <f>G28/35026.258</f>
        <v>1.2457605091585859</v>
      </c>
      <c r="L28" s="5">
        <v>1.7199157047397735</v>
      </c>
      <c r="M28" s="5">
        <v>1.2457605091585859</v>
      </c>
      <c r="O28" s="8">
        <f t="shared" ref="O28:O30" si="4">E28/I28</f>
        <v>1.3806150476719177</v>
      </c>
    </row>
    <row r="29" spans="2:15" x14ac:dyDescent="0.25">
      <c r="B29" s="23" t="s">
        <v>25</v>
      </c>
      <c r="C29">
        <v>44209.667902412031</v>
      </c>
      <c r="E29" s="5">
        <f t="shared" si="3"/>
        <v>1.2606238986719958</v>
      </c>
      <c r="G29">
        <v>54218.500999999997</v>
      </c>
      <c r="I29" s="5">
        <f>G29/35026.258</f>
        <v>1.5479387207163264</v>
      </c>
      <c r="L29" s="5">
        <v>1.2606238986719958</v>
      </c>
      <c r="M29" s="5">
        <v>1.5479387207163264</v>
      </c>
      <c r="O29" s="8">
        <f t="shared" si="4"/>
        <v>0.81438876216535727</v>
      </c>
    </row>
    <row r="30" spans="2:15" x14ac:dyDescent="0.25">
      <c r="B30" s="23" t="s">
        <v>29</v>
      </c>
      <c r="C30">
        <v>26859.274391288229</v>
      </c>
      <c r="E30" s="5">
        <f t="shared" si="3"/>
        <v>0.76588322883102522</v>
      </c>
      <c r="G30">
        <v>47815.550999999999</v>
      </c>
      <c r="I30" s="5">
        <f>G30/35026.258</f>
        <v>1.3651344371414154</v>
      </c>
      <c r="L30" s="5">
        <v>0.76588322883102522</v>
      </c>
      <c r="M30" s="5">
        <v>1.3651344371414154</v>
      </c>
      <c r="O30" s="8">
        <f t="shared" si="4"/>
        <v>0.56103135925189962</v>
      </c>
    </row>
    <row r="32" spans="2:1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2:2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21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2:21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2:21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2:2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21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9" t="s">
        <v>9</v>
      </c>
      <c r="R38" s="9" t="s">
        <v>6</v>
      </c>
      <c r="S38" s="9" t="s">
        <v>7</v>
      </c>
      <c r="T38" s="9" t="s">
        <v>8</v>
      </c>
    </row>
    <row r="39" spans="2:21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8">
        <v>1</v>
      </c>
      <c r="R39" s="8">
        <v>0.85628258604996754</v>
      </c>
      <c r="S39" s="8">
        <v>0.67664476411078378</v>
      </c>
      <c r="T39" s="8">
        <v>0.6753768585540102</v>
      </c>
      <c r="U39" s="2"/>
    </row>
    <row r="40" spans="2:21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8">
        <v>1</v>
      </c>
      <c r="R40" s="8">
        <v>0.75904196033997484</v>
      </c>
      <c r="S40" s="8">
        <v>0.69899947151751196</v>
      </c>
      <c r="T40" s="8">
        <v>0.88576735135573403</v>
      </c>
      <c r="U40" s="2"/>
    </row>
    <row r="41" spans="2:21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8">
        <v>1</v>
      </c>
      <c r="R41" s="8">
        <v>1.0814588533867628</v>
      </c>
      <c r="S41" s="8">
        <v>0.93751232074837898</v>
      </c>
      <c r="T41" s="8">
        <v>0.82432803983656089</v>
      </c>
      <c r="U41" s="2"/>
    </row>
    <row r="42" spans="2:21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"/>
      <c r="Q42" s="8">
        <v>1</v>
      </c>
      <c r="R42" s="8">
        <v>1.3806150476719177</v>
      </c>
      <c r="S42" s="8">
        <v>0.81438876216535727</v>
      </c>
      <c r="T42" s="8">
        <v>0.56103135925189962</v>
      </c>
      <c r="U42" s="2"/>
    </row>
    <row r="43" spans="2:2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</row>
    <row r="44" spans="2:21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" t="s">
        <v>10</v>
      </c>
      <c r="Q44">
        <f>AVERAGE(Q39:Q42)</f>
        <v>1</v>
      </c>
      <c r="R44">
        <f>AVERAGE(R39:R42)</f>
        <v>1.0193496118621557</v>
      </c>
      <c r="S44">
        <f>AVERAGE(S39:S42)</f>
        <v>0.78188632963550797</v>
      </c>
      <c r="T44">
        <f>AVERAGE(T39:T42)</f>
        <v>0.73662590224955127</v>
      </c>
    </row>
    <row r="45" spans="2:21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 t="s">
        <v>5</v>
      </c>
      <c r="Q45">
        <v>6.8000000000000005E-2</v>
      </c>
      <c r="R45">
        <v>0.1381</v>
      </c>
      <c r="S45">
        <v>6.0019999999999997E-2</v>
      </c>
      <c r="T45">
        <v>7.3330000000000006E-2</v>
      </c>
    </row>
    <row r="46" spans="2:21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2:21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2:21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3:26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3:26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3:26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3:26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3:26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3:26" s="2" customFormat="1" x14ac:dyDescent="0.25">
      <c r="V54" s="3"/>
      <c r="W54" s="3"/>
      <c r="X54" s="3"/>
      <c r="Y54" s="3"/>
    </row>
    <row r="55" spans="3:26" s="2" customFormat="1" x14ac:dyDescent="0.25">
      <c r="V55" s="3"/>
      <c r="W55" s="3"/>
      <c r="X55" s="3"/>
      <c r="Y55" s="3"/>
      <c r="Z55" s="3"/>
    </row>
    <row r="56" spans="3:26" s="2" customFormat="1" x14ac:dyDescent="0.25"/>
    <row r="57" spans="3:26" s="2" customFormat="1" x14ac:dyDescent="0.25"/>
    <row r="58" spans="3:26" s="2" customFormat="1" x14ac:dyDescent="0.25"/>
    <row r="59" spans="3:26" s="2" customFormat="1" x14ac:dyDescent="0.25"/>
    <row r="60" spans="3:26" s="2" customFormat="1" x14ac:dyDescent="0.25"/>
    <row r="61" spans="3:26" s="2" customFormat="1" x14ac:dyDescent="0.25"/>
    <row r="62" spans="3:26" s="2" customFormat="1" x14ac:dyDescent="0.25"/>
    <row r="63" spans="3:26" s="2" customFormat="1" x14ac:dyDescent="0.25"/>
    <row r="64" spans="3:26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pans="2:2" s="2" customFormat="1" x14ac:dyDescent="0.25"/>
    <row r="82" spans="2:2" s="2" customFormat="1" x14ac:dyDescent="0.25"/>
    <row r="83" spans="2:2" s="2" customFormat="1" x14ac:dyDescent="0.25"/>
    <row r="84" spans="2:2" s="2" customFormat="1" x14ac:dyDescent="0.25"/>
    <row r="85" spans="2:2" s="2" customFormat="1" x14ac:dyDescent="0.25"/>
    <row r="86" spans="2:2" s="2" customFormat="1" x14ac:dyDescent="0.25"/>
    <row r="87" spans="2:2" s="2" customFormat="1" x14ac:dyDescent="0.25"/>
    <row r="88" spans="2:2" s="2" customFormat="1" x14ac:dyDescent="0.25"/>
    <row r="89" spans="2:2" s="2" customFormat="1" x14ac:dyDescent="0.25">
      <c r="B89" s="10"/>
    </row>
    <row r="90" spans="2:2" s="2" customFormat="1" x14ac:dyDescent="0.25"/>
    <row r="91" spans="2:2" s="2" customFormat="1" x14ac:dyDescent="0.25"/>
    <row r="92" spans="2:2" s="2" customFormat="1" x14ac:dyDescent="0.25"/>
    <row r="93" spans="2:2" s="2" customFormat="1" x14ac:dyDescent="0.25"/>
    <row r="94" spans="2:2" s="2" customFormat="1" x14ac:dyDescent="0.25"/>
    <row r="95" spans="2:2" s="2" customFormat="1" x14ac:dyDescent="0.25"/>
    <row r="96" spans="2:2" s="2" customFormat="1" x14ac:dyDescent="0.25"/>
    <row r="97" s="2" customFormat="1" x14ac:dyDescent="0.25"/>
    <row r="98" s="2" customFormat="1" x14ac:dyDescent="0.25"/>
    <row r="99" s="2" customForma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Title page</vt:lpstr>
      <vt:lpstr>AKT</vt:lpstr>
      <vt:lpstr>ERK</vt:lpstr>
      <vt:lpstr>IRS307</vt:lpstr>
      <vt:lpstr>P38</vt:lpstr>
      <vt:lpstr>JNK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Parissa</dc:creator>
  <cp:lastModifiedBy>Susanne Lindemann</cp:lastModifiedBy>
  <dcterms:created xsi:type="dcterms:W3CDTF">2017-05-17T04:49:08Z</dcterms:created>
  <dcterms:modified xsi:type="dcterms:W3CDTF">2018-08-20T11:20:02Z</dcterms:modified>
</cp:coreProperties>
</file>